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21\Excel\"/>
    </mc:Choice>
  </mc:AlternateContent>
  <xr:revisionPtr revIDLastSave="0" documentId="13_ncr:1_{A86329BF-83F6-43E2-B83A-2EC77A279C72}" xr6:coauthVersionLast="36" xr6:coauthVersionMax="36" xr10:uidLastSave="{00000000-0000-0000-0000-000000000000}"/>
  <bookViews>
    <workbookView xWindow="0" yWindow="0" windowWidth="28800" windowHeight="11625" activeTab="2" xr2:uid="{00000000-000D-0000-FFFF-FFFF00000000}"/>
  </bookViews>
  <sheets>
    <sheet name="Chart1" sheetId="2" r:id="rId1"/>
    <sheet name="Sheet1" sheetId="3" r:id="rId2"/>
    <sheet name="TABLE5" sheetId="1" r:id="rId3"/>
  </sheets>
  <definedNames>
    <definedName name="_xlnm.Print_Area" localSheetId="2">TABLE5!$A$1:$K$352</definedName>
    <definedName name="_xlnm.Print_Area">TABLE5!$P$652:$V$702</definedName>
  </definedNames>
  <calcPr calcId="191029"/>
</workbook>
</file>

<file path=xl/calcChain.xml><?xml version="1.0" encoding="utf-8"?>
<calcChain xmlns="http://schemas.openxmlformats.org/spreadsheetml/2006/main">
  <c r="C21" i="1" l="1"/>
  <c r="C17" i="1"/>
  <c r="C18" i="1"/>
  <c r="C19" i="1"/>
  <c r="C20" i="1"/>
  <c r="B16" i="1"/>
  <c r="C16" i="1" l="1"/>
  <c r="K262" i="1"/>
  <c r="K313" i="1"/>
  <c r="E335" i="1"/>
  <c r="E244" i="1"/>
  <c r="D244" i="1"/>
  <c r="C244" i="1"/>
  <c r="B244" i="1"/>
  <c r="K223" i="1"/>
  <c r="J223" i="1"/>
  <c r="I223" i="1"/>
  <c r="H223" i="1"/>
  <c r="K174" i="1" l="1"/>
  <c r="J174" i="1"/>
  <c r="I174" i="1"/>
  <c r="H174" i="1"/>
  <c r="K117" i="1" l="1"/>
  <c r="K116" i="1"/>
  <c r="K114" i="1"/>
  <c r="K97" i="1"/>
  <c r="K76" i="1" s="1"/>
  <c r="I97" i="1"/>
  <c r="H69" i="1"/>
  <c r="H70" i="1"/>
  <c r="H71" i="1"/>
  <c r="H72" i="1"/>
  <c r="H73" i="1"/>
  <c r="H74" i="1"/>
  <c r="H75" i="1"/>
  <c r="H76" i="1"/>
  <c r="H68" i="1"/>
  <c r="J97" i="1"/>
  <c r="H97" i="1"/>
  <c r="E66" i="1"/>
  <c r="K47" i="1"/>
  <c r="K46" i="1"/>
  <c r="K45" i="1"/>
  <c r="K44" i="1"/>
  <c r="K43" i="1"/>
  <c r="K42" i="1"/>
  <c r="K41" i="1"/>
  <c r="K40" i="1"/>
  <c r="K39" i="1"/>
  <c r="K38" i="1"/>
  <c r="K36" i="1"/>
  <c r="J36" i="1"/>
  <c r="E44" i="1"/>
  <c r="D44" i="1"/>
  <c r="C44" i="1"/>
  <c r="B44" i="1"/>
  <c r="E36" i="1"/>
  <c r="K14" i="1"/>
  <c r="K23" i="1"/>
  <c r="J23" i="1"/>
  <c r="I23" i="1"/>
  <c r="H23" i="1"/>
  <c r="E273" i="1" l="1"/>
  <c r="E272" i="1"/>
  <c r="E271" i="1"/>
  <c r="E270" i="1"/>
  <c r="E269" i="1"/>
  <c r="E268" i="1"/>
  <c r="E267" i="1"/>
  <c r="E266" i="1"/>
  <c r="E265" i="1"/>
  <c r="E264" i="1"/>
  <c r="E262" i="1"/>
  <c r="J135" i="1"/>
  <c r="H135" i="1"/>
  <c r="I135" i="1"/>
  <c r="J234" i="1" l="1"/>
  <c r="D264" i="1" l="1"/>
  <c r="D265" i="1"/>
  <c r="D266" i="1"/>
  <c r="D267" i="1"/>
  <c r="D268" i="1"/>
  <c r="D269" i="1"/>
  <c r="D270" i="1"/>
  <c r="D271" i="1"/>
  <c r="D272" i="1"/>
  <c r="D273" i="1"/>
  <c r="C264" i="1"/>
  <c r="C265" i="1"/>
  <c r="C266" i="1"/>
  <c r="C267" i="1"/>
  <c r="C268" i="1"/>
  <c r="C269" i="1"/>
  <c r="C270" i="1"/>
  <c r="C271" i="1"/>
  <c r="C272" i="1"/>
  <c r="C273" i="1"/>
  <c r="B265" i="1"/>
  <c r="B266" i="1"/>
  <c r="B267" i="1"/>
  <c r="B268" i="1"/>
  <c r="B269" i="1"/>
  <c r="B270" i="1"/>
  <c r="B271" i="1"/>
  <c r="B272" i="1"/>
  <c r="B273" i="1"/>
  <c r="B264" i="1"/>
  <c r="D284" i="1"/>
  <c r="I213" i="1"/>
  <c r="C262" i="1" l="1"/>
  <c r="J335" i="1"/>
  <c r="D262" i="1"/>
  <c r="D234" i="1"/>
  <c r="J213" i="1"/>
  <c r="D213" i="1"/>
  <c r="J185" i="1"/>
  <c r="D185" i="1"/>
  <c r="J164" i="1"/>
  <c r="D164" i="1"/>
  <c r="D135" i="1"/>
  <c r="J114" i="1"/>
  <c r="D114" i="1"/>
  <c r="J87" i="1"/>
  <c r="D87" i="1"/>
  <c r="D66" i="1"/>
  <c r="D36" i="1"/>
  <c r="J14" i="1"/>
  <c r="H213" i="1" l="1"/>
  <c r="C164" i="1"/>
  <c r="B164" i="1"/>
  <c r="I234" i="1" l="1"/>
  <c r="J71" i="1"/>
  <c r="D19" i="1" s="1"/>
  <c r="J72" i="1"/>
  <c r="D20" i="1" s="1"/>
  <c r="J73" i="1"/>
  <c r="D21" i="1" s="1"/>
  <c r="J74" i="1"/>
  <c r="J75" i="1"/>
  <c r="J76" i="1"/>
  <c r="I76" i="1" l="1"/>
  <c r="I87" i="1"/>
  <c r="H87" i="1"/>
  <c r="I185" i="1" l="1"/>
  <c r="H185" i="1"/>
  <c r="B17" i="1"/>
  <c r="B18" i="1"/>
  <c r="I36" i="1"/>
  <c r="H36" i="1"/>
  <c r="H234" i="1" l="1"/>
  <c r="I75" i="1" l="1"/>
  <c r="B114" i="1" l="1"/>
  <c r="C114" i="1"/>
  <c r="D335" i="1" l="1"/>
  <c r="C335" i="1"/>
  <c r="B335" i="1"/>
  <c r="I335" i="1" l="1"/>
  <c r="H335" i="1"/>
  <c r="J313" i="1"/>
  <c r="I313" i="1"/>
  <c r="H313" i="1"/>
  <c r="D313" i="1"/>
  <c r="C313" i="1"/>
  <c r="B313" i="1"/>
  <c r="J284" i="1"/>
  <c r="I284" i="1"/>
  <c r="H284" i="1"/>
  <c r="C284" i="1"/>
  <c r="B284" i="1"/>
  <c r="J262" i="1"/>
  <c r="I262" i="1"/>
  <c r="H262" i="1"/>
  <c r="B262" i="1"/>
  <c r="B234" i="1"/>
  <c r="C234" i="1"/>
  <c r="C213" i="1"/>
  <c r="B213" i="1"/>
  <c r="C185" i="1"/>
  <c r="B185" i="1"/>
  <c r="I164" i="1"/>
  <c r="H164" i="1"/>
  <c r="C135" i="1"/>
  <c r="B135" i="1"/>
  <c r="I114" i="1"/>
  <c r="H114" i="1"/>
  <c r="C87" i="1"/>
  <c r="B87" i="1"/>
  <c r="I74" i="1"/>
  <c r="I73" i="1"/>
  <c r="B21" i="1"/>
  <c r="I72" i="1"/>
  <c r="B20" i="1"/>
  <c r="I71" i="1"/>
  <c r="B19" i="1"/>
  <c r="J70" i="1"/>
  <c r="D18" i="1" s="1"/>
  <c r="I70" i="1"/>
  <c r="J69" i="1"/>
  <c r="D17" i="1" s="1"/>
  <c r="I69" i="1"/>
  <c r="J68" i="1"/>
  <c r="I68" i="1"/>
  <c r="C66" i="1"/>
  <c r="B66" i="1"/>
  <c r="C36" i="1"/>
  <c r="B36" i="1"/>
  <c r="I14" i="1"/>
  <c r="H14" i="1"/>
  <c r="E37" i="3"/>
  <c r="F37" i="3"/>
  <c r="D16" i="1" l="1"/>
  <c r="D14" i="1" s="1"/>
  <c r="J66" i="1"/>
  <c r="C14" i="1"/>
  <c r="B14" i="1"/>
  <c r="I66" i="1"/>
  <c r="H66" i="1"/>
</calcChain>
</file>

<file path=xl/sharedStrings.xml><?xml version="1.0" encoding="utf-8"?>
<sst xmlns="http://schemas.openxmlformats.org/spreadsheetml/2006/main" count="742" uniqueCount="68">
  <si>
    <t>STATE TOTAL</t>
  </si>
  <si>
    <t xml:space="preserve">   MINING (21)</t>
  </si>
  <si>
    <t>Total</t>
  </si>
  <si>
    <t xml:space="preserve">   Average</t>
  </si>
  <si>
    <t>Employment</t>
  </si>
  <si>
    <t xml:space="preserve">   Number of</t>
  </si>
  <si>
    <t xml:space="preserve">    March</t>
  </si>
  <si>
    <t>Quarterly</t>
  </si>
  <si>
    <t xml:space="preserve">   Monthly</t>
  </si>
  <si>
    <t xml:space="preserve">  Range</t>
  </si>
  <si>
    <t>Establishments</t>
  </si>
  <si>
    <t xml:space="preserve">  Employment</t>
  </si>
  <si>
    <t>Wages</t>
  </si>
  <si>
    <t xml:space="preserve">   Wage</t>
  </si>
  <si>
    <t xml:space="preserve">  Total</t>
  </si>
  <si>
    <t>0</t>
  </si>
  <si>
    <t>1-4</t>
  </si>
  <si>
    <t>5-9</t>
  </si>
  <si>
    <t>20-49</t>
  </si>
  <si>
    <t>50-99</t>
  </si>
  <si>
    <t>100-249</t>
  </si>
  <si>
    <t>250-499</t>
  </si>
  <si>
    <t>250 &amp; Over</t>
  </si>
  <si>
    <t>500-999</t>
  </si>
  <si>
    <t>1,000 &amp; Over</t>
  </si>
  <si>
    <t>UTILITIES (22)</t>
  </si>
  <si>
    <t xml:space="preserve">    CONSTRUCTION (23)</t>
  </si>
  <si>
    <t xml:space="preserve">   Total</t>
  </si>
  <si>
    <t xml:space="preserve"> </t>
  </si>
  <si>
    <t xml:space="preserve">       MANUFACTURING (31-33)</t>
  </si>
  <si>
    <t xml:space="preserve">   TRADE</t>
  </si>
  <si>
    <t>500 &amp; Over</t>
  </si>
  <si>
    <t xml:space="preserve">    Wholesale Trade (42)</t>
  </si>
  <si>
    <t>Retail Trade (44-45)</t>
  </si>
  <si>
    <t xml:space="preserve">   TRANSPORTATION AND WAREHOUSING (48-49)</t>
  </si>
  <si>
    <t xml:space="preserve">              INFORMATION (51)</t>
  </si>
  <si>
    <t>FINANCE AND INSURANCE (52)</t>
  </si>
  <si>
    <t>REAL ESTATE &amp; RENTAL AND LEASING (53)</t>
  </si>
  <si>
    <t>100 &amp; Over</t>
  </si>
  <si>
    <t>PROFESSIONAL, SCIENTIFIC, AND TECHNICAL SERVICES (54)</t>
  </si>
  <si>
    <t>MANAGEMENT OF COMPANIES AND ENTERPRISES (55)</t>
  </si>
  <si>
    <t>ADMINISTRATIVE &amp; SUPPORT, WASTE MANAGEMENT, &amp; REMEDIATION SERVICES (56)</t>
  </si>
  <si>
    <t>HEALTH CARE AND SOCIAL ASSISTANCE (62)</t>
  </si>
  <si>
    <t>ARTS, ENTERTAINMENT, AND RECREATION (71)</t>
  </si>
  <si>
    <t>ACCOMMODATION AND FOOD SERVICES (72)</t>
  </si>
  <si>
    <t>OTHER SERVICES (81)</t>
  </si>
  <si>
    <t>FEDERAL GOVERNMENT</t>
  </si>
  <si>
    <t>FEDERAL DEFENSE</t>
  </si>
  <si>
    <t>STATE GOVERNMENT</t>
  </si>
  <si>
    <t>STATE EDUCATION</t>
  </si>
  <si>
    <t>LOCAL GOVERNMENT</t>
  </si>
  <si>
    <t>LOCAL EDUCATION</t>
  </si>
  <si>
    <t>PRIVATE SECTOR</t>
  </si>
  <si>
    <t>GOVERNMENT (92)</t>
  </si>
  <si>
    <t>500 &amp;  Over</t>
  </si>
  <si>
    <t>500 - 999</t>
  </si>
  <si>
    <t>10-19</t>
  </si>
  <si>
    <t>1000 &amp; Over</t>
  </si>
  <si>
    <t xml:space="preserve">250-499 </t>
  </si>
  <si>
    <t>EDUCATIONAL SERVICES (PRIVATE) (61)</t>
  </si>
  <si>
    <t xml:space="preserve">TABLE 5.  (cont.) UTAH NONAGRICULTURAL ESTABLISHMENTS, EMPLOYMENT, AND WAGES BY </t>
  </si>
  <si>
    <t>`</t>
  </si>
  <si>
    <t xml:space="preserve">    </t>
  </si>
  <si>
    <t xml:space="preserve">BY EMPLOYMENT RANGE AND NAICS SECTOR, FIRST QUARTER 2021
</t>
  </si>
  <si>
    <t>SOURCE: Utah Department of Workforce Services, Workforce Research &amp; Analysis, Utah Employers, Employment, and Wages by Size, 2021.</t>
  </si>
  <si>
    <t>500 &amp; over</t>
  </si>
  <si>
    <t>EMPLOYMENT RANGE AND NAICS SECTOR, FIRST QUARTER 2021</t>
  </si>
  <si>
    <t xml:space="preserve">TABLE 16.  UTAH NONAGRICULTURAL ESTABLISHMENTS, EMPLOYMENT, AND WAGES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</si>
</sst>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\ ;\(&quot;$&quot;#,##0\)"/>
    <numFmt numFmtId="165" formatCode="&quot;$&quot;#,##0"/>
  </numFmts>
  <fonts count="9" x14ac:knownFonts="1">
    <font>
      <sz val="10"/>
      <name val="Arial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0"/>
      <color indexed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7" fillId="0" borderId="0"/>
    <xf numFmtId="0" fontId="8" fillId="0" borderId="0"/>
  </cellStyleXfs>
  <cellXfs count="44">
    <xf numFmtId="3" fontId="0" fillId="0" borderId="0" xfId="0" applyNumberFormat="1"/>
    <xf numFmtId="164" fontId="0" fillId="0" borderId="0" xfId="0" applyNumberFormat="1"/>
    <xf numFmtId="3" fontId="0" fillId="0" borderId="0" xfId="0" quotePrefix="1" applyNumberFormat="1"/>
    <xf numFmtId="165" fontId="0" fillId="0" borderId="0" xfId="0" applyNumberFormat="1"/>
    <xf numFmtId="3" fontId="0" fillId="0" borderId="0" xfId="0" applyNumberFormat="1" applyBorder="1"/>
    <xf numFmtId="3" fontId="2" fillId="0" borderId="0" xfId="0" applyNumberFormat="1" applyFont="1" applyBorder="1"/>
    <xf numFmtId="3" fontId="0" fillId="3" borderId="0" xfId="0" applyNumberFormat="1" applyFill="1" applyBorder="1"/>
    <xf numFmtId="3" fontId="4" fillId="2" borderId="0" xfId="0" applyNumberFormat="1" applyFont="1" applyFill="1" applyBorder="1"/>
    <xf numFmtId="3" fontId="4" fillId="0" borderId="0" xfId="0" applyNumberFormat="1" applyFont="1" applyBorder="1"/>
    <xf numFmtId="3" fontId="4" fillId="2" borderId="0" xfId="0" applyNumberFormat="1" applyFont="1" applyFill="1" applyBorder="1" applyAlignment="1">
      <alignment horizontal="right"/>
    </xf>
    <xf numFmtId="165" fontId="4" fillId="0" borderId="0" xfId="0" applyNumberFormat="1" applyFont="1" applyFill="1" applyBorder="1"/>
    <xf numFmtId="164" fontId="4" fillId="0" borderId="0" xfId="0" applyNumberFormat="1" applyFont="1" applyBorder="1"/>
    <xf numFmtId="3" fontId="0" fillId="5" borderId="0" xfId="0" applyNumberFormat="1" applyFill="1" applyBorder="1"/>
    <xf numFmtId="3" fontId="4" fillId="5" borderId="0" xfId="0" applyNumberFormat="1" applyFont="1" applyFill="1" applyBorder="1"/>
    <xf numFmtId="3" fontId="0" fillId="0" borderId="0" xfId="0" applyNumberFormat="1" applyFill="1" applyBorder="1"/>
    <xf numFmtId="165" fontId="4" fillId="0" borderId="0" xfId="0" applyNumberFormat="1" applyFont="1" applyBorder="1"/>
    <xf numFmtId="3" fontId="4" fillId="0" borderId="0" xfId="0" applyNumberFormat="1" applyFont="1" applyFill="1" applyBorder="1"/>
    <xf numFmtId="3" fontId="6" fillId="0" borderId="0" xfId="0" applyNumberFormat="1" applyFont="1" applyBorder="1"/>
    <xf numFmtId="3" fontId="1" fillId="0" borderId="0" xfId="0" applyNumberFormat="1" applyFont="1" applyFill="1" applyBorder="1"/>
    <xf numFmtId="164" fontId="4" fillId="0" borderId="0" xfId="0" applyNumberFormat="1" applyFont="1" applyBorder="1" applyAlignment="1"/>
    <xf numFmtId="3" fontId="0" fillId="0" borderId="0" xfId="0" quotePrefix="1" applyNumberFormat="1" applyBorder="1"/>
    <xf numFmtId="164" fontId="0" fillId="0" borderId="0" xfId="0" applyNumberFormat="1" applyBorder="1"/>
    <xf numFmtId="4" fontId="0" fillId="0" borderId="0" xfId="0" applyNumberFormat="1" applyBorder="1"/>
    <xf numFmtId="3" fontId="4" fillId="2" borderId="0" xfId="0" applyNumberFormat="1" applyFont="1" applyFill="1" applyBorder="1" applyAlignment="1">
      <alignment horizontal="left"/>
    </xf>
    <xf numFmtId="3" fontId="5" fillId="3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Border="1" applyAlignment="1"/>
    <xf numFmtId="3" fontId="0" fillId="0" borderId="0" xfId="0" applyNumberFormat="1" applyBorder="1" applyAlignment="1"/>
    <xf numFmtId="165" fontId="4" fillId="5" borderId="0" xfId="0" applyNumberFormat="1" applyFont="1" applyFill="1" applyBorder="1"/>
    <xf numFmtId="3" fontId="0" fillId="5" borderId="0" xfId="0" applyNumberFormat="1" applyFill="1" applyBorder="1" applyAlignment="1">
      <alignment horizontal="left"/>
    </xf>
    <xf numFmtId="3" fontId="2" fillId="5" borderId="0" xfId="0" applyNumberFormat="1" applyFont="1" applyFill="1" applyBorder="1"/>
    <xf numFmtId="3" fontId="0" fillId="5" borderId="0" xfId="0" quotePrefix="1" applyNumberFormat="1" applyFill="1" applyBorder="1"/>
    <xf numFmtId="164" fontId="4" fillId="5" borderId="0" xfId="0" applyNumberFormat="1" applyFont="1" applyFill="1" applyBorder="1"/>
    <xf numFmtId="3" fontId="2" fillId="0" borderId="0" xfId="0" applyNumberFormat="1" applyFont="1" applyFill="1" applyBorder="1"/>
    <xf numFmtId="3" fontId="3" fillId="5" borderId="0" xfId="0" applyNumberFormat="1" applyFont="1" applyFill="1" applyBorder="1"/>
    <xf numFmtId="3" fontId="4" fillId="2" borderId="0" xfId="0" applyNumberFormat="1" applyFont="1" applyFill="1" applyBorder="1" applyAlignment="1">
      <alignment horizontal="center"/>
    </xf>
    <xf numFmtId="3" fontId="5" fillId="4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5" fillId="4" borderId="0" xfId="0" applyNumberFormat="1" applyFont="1" applyFill="1" applyBorder="1" applyAlignment="1">
      <alignment horizontal="center" vertical="top" wrapText="1"/>
    </xf>
    <xf numFmtId="3" fontId="5" fillId="0" borderId="0" xfId="0" applyNumberFormat="1" applyFont="1" applyBorder="1" applyAlignment="1">
      <alignment horizontal="center" vertical="top"/>
    </xf>
    <xf numFmtId="3" fontId="4" fillId="2" borderId="0" xfId="0" applyNumberFormat="1" applyFont="1" applyFill="1" applyBorder="1" applyAlignment="1">
      <alignment horizontal="left"/>
    </xf>
    <xf numFmtId="3" fontId="5" fillId="3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Border="1" applyAlignment="1"/>
    <xf numFmtId="3" fontId="0" fillId="0" borderId="0" xfId="0" applyNumberFormat="1" applyBorder="1" applyAlignment="1"/>
    <xf numFmtId="3" fontId="0" fillId="0" borderId="0" xfId="0" applyNumberFormat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098779134295227E-2"/>
          <c:y val="1.6313213703099509E-2"/>
          <c:w val="0.97780244173140951"/>
          <c:h val="0.9673735725938009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174528"/>
        <c:axId val="218032384"/>
      </c:barChart>
      <c:catAx>
        <c:axId val="213174528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8032384"/>
        <c:crosses val="autoZero"/>
        <c:auto val="1"/>
        <c:lblAlgn val="ctr"/>
        <c:lblOffset val="100"/>
        <c:tickMarkSkip val="1"/>
        <c:noMultiLvlLbl val="0"/>
      </c:catAx>
      <c:valAx>
        <c:axId val="218032384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3174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Number of Employment by Construction Firm Size; March 2005</a:t>
            </a:r>
          </a:p>
        </c:rich>
      </c:tx>
      <c:layout>
        <c:manualLayout>
          <c:xMode val="edge"/>
          <c:yMode val="edge"/>
          <c:x val="0.13400000000000001"/>
          <c:y val="3.71621621621621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2"/>
          <c:y val="0.25675675675675674"/>
          <c:w val="0.42399999999999999"/>
          <c:h val="0.5912162162162162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Sheet1!$E$33:$E$34</c:f>
              <c:strCache>
                <c:ptCount val="2"/>
                <c:pt idx="0">
                  <c:v>   Number of</c:v>
                </c:pt>
                <c:pt idx="1">
                  <c:v>Establishments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Sheet1!$D$35:$D$46</c:f>
              <c:strCache>
                <c:ptCount val="8"/>
                <c:pt idx="0">
                  <c:v>0</c:v>
                </c:pt>
                <c:pt idx="1">
                  <c:v>1-4</c:v>
                </c:pt>
                <c:pt idx="2">
                  <c:v>5-9</c:v>
                </c:pt>
                <c:pt idx="3">
                  <c:v>10-19</c:v>
                </c:pt>
                <c:pt idx="4">
                  <c:v>20-49</c:v>
                </c:pt>
                <c:pt idx="5">
                  <c:v>50-99</c:v>
                </c:pt>
                <c:pt idx="6">
                  <c:v>100-249</c:v>
                </c:pt>
                <c:pt idx="7">
                  <c:v>250 &amp; Over</c:v>
                </c:pt>
              </c:strCache>
            </c:strRef>
          </c:cat>
          <c:val>
            <c:numRef>
              <c:f>Sheet1!$E$35:$E$46</c:f>
              <c:numCache>
                <c:formatCode>#,##0</c:formatCode>
                <c:ptCount val="8"/>
                <c:pt idx="0">
                  <c:v>2509</c:v>
                </c:pt>
                <c:pt idx="1">
                  <c:v>5021</c:v>
                </c:pt>
                <c:pt idx="2">
                  <c:v>2051</c:v>
                </c:pt>
                <c:pt idx="3">
                  <c:v>1105</c:v>
                </c:pt>
                <c:pt idx="4">
                  <c:v>600</c:v>
                </c:pt>
                <c:pt idx="5">
                  <c:v>147</c:v>
                </c:pt>
                <c:pt idx="6">
                  <c:v>46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D6-417D-99F0-F6046A42B4E5}"/>
            </c:ext>
          </c:extLst>
        </c:ser>
        <c:ser>
          <c:idx val="1"/>
          <c:order val="1"/>
          <c:tx>
            <c:strRef>
              <c:f>Sheet1!$F$33:$F$34</c:f>
              <c:strCache>
                <c:ptCount val="2"/>
                <c:pt idx="0">
                  <c:v>    March</c:v>
                </c:pt>
                <c:pt idx="1">
                  <c:v>  Employment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Sheet1!$D$35:$D$46</c:f>
              <c:strCache>
                <c:ptCount val="8"/>
                <c:pt idx="0">
                  <c:v>0</c:v>
                </c:pt>
                <c:pt idx="1">
                  <c:v>1-4</c:v>
                </c:pt>
                <c:pt idx="2">
                  <c:v>5-9</c:v>
                </c:pt>
                <c:pt idx="3">
                  <c:v>10-19</c:v>
                </c:pt>
                <c:pt idx="4">
                  <c:v>20-49</c:v>
                </c:pt>
                <c:pt idx="5">
                  <c:v>50-99</c:v>
                </c:pt>
                <c:pt idx="6">
                  <c:v>100-249</c:v>
                </c:pt>
                <c:pt idx="7">
                  <c:v>250 &amp; Over</c:v>
                </c:pt>
              </c:strCache>
            </c:strRef>
          </c:cat>
          <c:val>
            <c:numRef>
              <c:f>Sheet1!$F$35:$F$46</c:f>
              <c:numCache>
                <c:formatCode>#,##0</c:formatCode>
                <c:ptCount val="8"/>
                <c:pt idx="0">
                  <c:v>0</c:v>
                </c:pt>
                <c:pt idx="1">
                  <c:v>10846</c:v>
                </c:pt>
                <c:pt idx="2">
                  <c:v>13412</c:v>
                </c:pt>
                <c:pt idx="3">
                  <c:v>14764</c:v>
                </c:pt>
                <c:pt idx="4">
                  <c:v>17856</c:v>
                </c:pt>
                <c:pt idx="5">
                  <c:v>9860</c:v>
                </c:pt>
                <c:pt idx="6">
                  <c:v>6192</c:v>
                </c:pt>
                <c:pt idx="7">
                  <c:v>1730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D6-417D-99F0-F6046A42B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774400"/>
        <c:axId val="222775936"/>
      </c:barChart>
      <c:catAx>
        <c:axId val="2227744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27759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22775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2774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"/>
          <c:y val="0.42567567567567566"/>
          <c:w val="0.31399999999999995"/>
          <c:h val="0.2533783783783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98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16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27</xdr:row>
      <xdr:rowOff>142875</xdr:rowOff>
    </xdr:from>
    <xdr:to>
      <xdr:col>8</xdr:col>
      <xdr:colOff>352425</xdr:colOff>
      <xdr:row>49</xdr:row>
      <xdr:rowOff>47625</xdr:rowOff>
    </xdr:to>
    <xdr:graphicFrame macro="">
      <xdr:nvGraphicFramePr>
        <xdr:cNvPr id="1080" name="Chart 1">
          <a:extLst>
            <a:ext uri="{FF2B5EF4-FFF2-40B4-BE49-F238E27FC236}">
              <a16:creationId xmlns:a16="http://schemas.microsoft.com/office/drawing/2014/main" id="{00000000-0008-0000-0100-00003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5:H65"/>
  <sheetViews>
    <sheetView workbookViewId="0">
      <selection activeCell="L49" sqref="L49"/>
    </sheetView>
  </sheetViews>
  <sheetFormatPr defaultRowHeight="12.75" x14ac:dyDescent="0.2"/>
  <cols>
    <col min="3" max="3" width="10.5703125" customWidth="1"/>
    <col min="4" max="4" width="11.7109375" customWidth="1"/>
    <col min="5" max="5" width="12.28515625" customWidth="1"/>
    <col min="6" max="6" width="12.140625" customWidth="1"/>
    <col min="7" max="7" width="15.28515625" customWidth="1"/>
  </cols>
  <sheetData>
    <row r="15" hidden="1" x14ac:dyDescent="0.2"/>
    <row r="16" hidden="1" x14ac:dyDescent="0.2"/>
    <row r="17" spans="4:8" hidden="1" x14ac:dyDescent="0.2">
      <c r="G17" s="3"/>
      <c r="H17" s="1"/>
    </row>
    <row r="18" spans="4:8" hidden="1" x14ac:dyDescent="0.2">
      <c r="D18" s="2"/>
    </row>
    <row r="33" spans="4:6" x14ac:dyDescent="0.2">
      <c r="D33" t="s">
        <v>4</v>
      </c>
      <c r="E33" t="s">
        <v>5</v>
      </c>
      <c r="F33" t="s">
        <v>6</v>
      </c>
    </row>
    <row r="34" spans="4:6" x14ac:dyDescent="0.2">
      <c r="D34" t="s">
        <v>9</v>
      </c>
      <c r="E34" t="s">
        <v>10</v>
      </c>
      <c r="F34" t="s">
        <v>11</v>
      </c>
    </row>
    <row r="35" spans="4:6" hidden="1" x14ac:dyDescent="0.2"/>
    <row r="36" spans="4:6" hidden="1" x14ac:dyDescent="0.2"/>
    <row r="37" spans="4:6" hidden="1" x14ac:dyDescent="0.2">
      <c r="D37" t="s">
        <v>14</v>
      </c>
      <c r="E37">
        <f>SUM(E39:E46)</f>
        <v>11484</v>
      </c>
      <c r="F37">
        <f>SUM(F39:F46)</f>
        <v>74660</v>
      </c>
    </row>
    <row r="38" spans="4:6" hidden="1" x14ac:dyDescent="0.2"/>
    <row r="39" spans="4:6" x14ac:dyDescent="0.2">
      <c r="D39" t="s">
        <v>15</v>
      </c>
      <c r="E39">
        <v>2509</v>
      </c>
      <c r="F39">
        <v>0</v>
      </c>
    </row>
    <row r="40" spans="4:6" x14ac:dyDescent="0.2">
      <c r="D40" t="s">
        <v>16</v>
      </c>
      <c r="E40">
        <v>5021</v>
      </c>
      <c r="F40">
        <v>10846</v>
      </c>
    </row>
    <row r="41" spans="4:6" x14ac:dyDescent="0.2">
      <c r="D41" t="s">
        <v>17</v>
      </c>
      <c r="E41">
        <v>2051</v>
      </c>
      <c r="F41">
        <v>13412</v>
      </c>
    </row>
    <row r="42" spans="4:6" x14ac:dyDescent="0.2">
      <c r="D42" s="2" t="s">
        <v>56</v>
      </c>
      <c r="E42">
        <v>1105</v>
      </c>
      <c r="F42">
        <v>14764</v>
      </c>
    </row>
    <row r="43" spans="4:6" x14ac:dyDescent="0.2">
      <c r="D43" t="s">
        <v>18</v>
      </c>
      <c r="E43">
        <v>600</v>
      </c>
      <c r="F43">
        <v>17856</v>
      </c>
    </row>
    <row r="44" spans="4:6" x14ac:dyDescent="0.2">
      <c r="D44" t="s">
        <v>19</v>
      </c>
      <c r="E44">
        <v>147</v>
      </c>
      <c r="F44">
        <v>9860</v>
      </c>
    </row>
    <row r="45" spans="4:6" x14ac:dyDescent="0.2">
      <c r="D45" t="s">
        <v>20</v>
      </c>
      <c r="E45">
        <v>46</v>
      </c>
      <c r="F45">
        <v>6192</v>
      </c>
    </row>
    <row r="46" spans="4:6" x14ac:dyDescent="0.2">
      <c r="D46" t="s">
        <v>22</v>
      </c>
      <c r="E46">
        <v>5</v>
      </c>
      <c r="F46">
        <v>1730</v>
      </c>
    </row>
    <row r="58" spans="3:5" x14ac:dyDescent="0.2">
      <c r="C58" t="s">
        <v>15</v>
      </c>
      <c r="D58">
        <v>2509</v>
      </c>
      <c r="E58">
        <v>0</v>
      </c>
    </row>
    <row r="59" spans="3:5" x14ac:dyDescent="0.2">
      <c r="C59" t="s">
        <v>16</v>
      </c>
      <c r="D59">
        <v>7530</v>
      </c>
      <c r="E59">
        <v>10846</v>
      </c>
    </row>
    <row r="60" spans="3:5" x14ac:dyDescent="0.2">
      <c r="C60" t="s">
        <v>17</v>
      </c>
      <c r="D60">
        <v>2051</v>
      </c>
      <c r="E60">
        <v>13412</v>
      </c>
    </row>
    <row r="61" spans="3:5" x14ac:dyDescent="0.2">
      <c r="C61" s="2" t="s">
        <v>56</v>
      </c>
      <c r="D61">
        <v>1105</v>
      </c>
      <c r="E61">
        <v>14764</v>
      </c>
    </row>
    <row r="62" spans="3:5" x14ac:dyDescent="0.2">
      <c r="C62" t="s">
        <v>18</v>
      </c>
      <c r="D62">
        <v>600</v>
      </c>
      <c r="E62">
        <v>17856</v>
      </c>
    </row>
    <row r="63" spans="3:5" x14ac:dyDescent="0.2">
      <c r="C63" t="s">
        <v>19</v>
      </c>
      <c r="D63">
        <v>147</v>
      </c>
      <c r="E63">
        <v>9860</v>
      </c>
    </row>
    <row r="64" spans="3:5" x14ac:dyDescent="0.2">
      <c r="C64" t="s">
        <v>20</v>
      </c>
      <c r="D64">
        <v>46</v>
      </c>
      <c r="E64">
        <v>6192</v>
      </c>
    </row>
    <row r="65" spans="3:5" x14ac:dyDescent="0.2">
      <c r="C65" t="s">
        <v>22</v>
      </c>
      <c r="D65">
        <v>5</v>
      </c>
      <c r="E65">
        <v>1730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782"/>
  <sheetViews>
    <sheetView tabSelected="1" zoomScaleNormal="100" workbookViewId="0">
      <selection activeCell="O20" sqref="O20"/>
    </sheetView>
  </sheetViews>
  <sheetFormatPr defaultRowHeight="12.75" x14ac:dyDescent="0.2"/>
  <cols>
    <col min="1" max="1" width="12.7109375" style="4" customWidth="1"/>
    <col min="2" max="2" width="14.42578125" style="4" bestFit="1" customWidth="1"/>
    <col min="3" max="3" width="13.7109375" style="4" customWidth="1"/>
    <col min="4" max="4" width="15.85546875" style="4" customWidth="1"/>
    <col min="5" max="5" width="16.28515625" style="4" customWidth="1"/>
    <col min="6" max="6" width="6.7109375" style="4" customWidth="1"/>
    <col min="7" max="7" width="12.7109375" style="4" customWidth="1"/>
    <col min="8" max="8" width="14.42578125" style="4" bestFit="1" customWidth="1"/>
    <col min="9" max="9" width="13.7109375" style="4" customWidth="1"/>
    <col min="10" max="10" width="17" style="4" customWidth="1"/>
    <col min="11" max="11" width="11.7109375" style="4" customWidth="1"/>
    <col min="12" max="12" width="9.140625" style="4"/>
    <col min="13" max="13" width="12.7109375" style="4" customWidth="1"/>
    <col min="14" max="14" width="11.7109375" style="4" customWidth="1"/>
    <col min="15" max="15" width="12.7109375" style="4" customWidth="1"/>
    <col min="16" max="16" width="14.7109375" style="4" customWidth="1"/>
    <col min="17" max="17" width="12.7109375" style="4" customWidth="1"/>
    <col min="18" max="18" width="11.140625" style="4" bestFit="1" customWidth="1"/>
    <col min="19" max="19" width="12.7109375" style="4" customWidth="1"/>
    <col min="20" max="20" width="14.7109375" style="4" customWidth="1"/>
    <col min="21" max="21" width="11.7109375" style="4" customWidth="1"/>
    <col min="22" max="22" width="14.7109375" style="4" customWidth="1"/>
    <col min="23" max="23" width="11.7109375" style="4" customWidth="1"/>
    <col min="24" max="25" width="11.140625" style="4" bestFit="1" customWidth="1"/>
    <col min="26" max="27" width="9.140625" style="4"/>
    <col min="28" max="28" width="10.7109375" style="4" customWidth="1"/>
    <col min="29" max="31" width="9.140625" style="4"/>
    <col min="32" max="32" width="3.7109375" style="4" customWidth="1"/>
    <col min="33" max="35" width="9.140625" style="4"/>
    <col min="36" max="36" width="4.7109375" style="4" customWidth="1"/>
    <col min="37" max="37" width="15.7109375" style="4" customWidth="1"/>
    <col min="38" max="40" width="9.140625" style="4"/>
    <col min="41" max="41" width="12.7109375" style="4" customWidth="1"/>
    <col min="42" max="43" width="11.7109375" style="4" customWidth="1"/>
    <col min="44" max="44" width="14.7109375" style="4" customWidth="1"/>
    <col min="45" max="45" width="11.7109375" style="4" customWidth="1"/>
    <col min="46" max="46" width="9.140625" style="4"/>
    <col min="47" max="47" width="12.7109375" style="4" customWidth="1"/>
    <col min="48" max="49" width="11.7109375" style="4" customWidth="1"/>
    <col min="50" max="50" width="14.7109375" style="4" customWidth="1"/>
    <col min="51" max="51" width="11.7109375" style="4" customWidth="1"/>
    <col min="52" max="52" width="9.140625" style="4"/>
    <col min="53" max="55" width="11.7109375" style="4" customWidth="1"/>
    <col min="56" max="56" width="14.7109375" style="4" customWidth="1"/>
    <col min="57" max="57" width="11.7109375" style="4" customWidth="1"/>
    <col min="58" max="58" width="9.140625" style="4"/>
    <col min="59" max="61" width="11.7109375" style="4" customWidth="1"/>
    <col min="62" max="62" width="14.7109375" style="4" customWidth="1"/>
    <col min="63" max="63" width="11.7109375" style="4" customWidth="1"/>
    <col min="64" max="64" width="9.140625" style="4"/>
    <col min="65" max="65" width="12.7109375" style="4" customWidth="1"/>
    <col min="66" max="67" width="11.7109375" style="4" customWidth="1"/>
    <col min="68" max="68" width="14.7109375" style="4" customWidth="1"/>
    <col min="69" max="69" width="11.7109375" style="4" customWidth="1"/>
    <col min="70" max="70" width="9.140625" style="4"/>
    <col min="71" max="71" width="12.7109375" style="4" customWidth="1"/>
    <col min="72" max="73" width="11.7109375" style="4" customWidth="1"/>
    <col min="74" max="74" width="14.7109375" style="4" customWidth="1"/>
    <col min="75" max="75" width="11.7109375" style="4" customWidth="1"/>
    <col min="76" max="16384" width="9.140625" style="4"/>
  </cols>
  <sheetData>
    <row r="1" spans="1:13" x14ac:dyDescent="0.2">
      <c r="A1" s="4" t="s">
        <v>62</v>
      </c>
    </row>
    <row r="3" spans="1:13" x14ac:dyDescent="0.2">
      <c r="G3" s="5" t="s">
        <v>61</v>
      </c>
    </row>
    <row r="4" spans="1:13" ht="12.75" customHeight="1" x14ac:dyDescent="0.2">
      <c r="A4" s="37" t="s">
        <v>67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3" x14ac:dyDescent="0.2">
      <c r="A5" s="37" t="s">
        <v>63</v>
      </c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3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3" s="8" customFormat="1" x14ac:dyDescent="0.2">
      <c r="A7" s="34" t="s">
        <v>0</v>
      </c>
      <c r="B7" s="34"/>
      <c r="C7" s="34"/>
      <c r="D7" s="34"/>
      <c r="E7" s="34"/>
      <c r="F7" s="7"/>
      <c r="G7" s="34" t="s">
        <v>1</v>
      </c>
      <c r="H7" s="34"/>
      <c r="I7" s="34"/>
      <c r="J7" s="34"/>
      <c r="K7" s="34"/>
    </row>
    <row r="8" spans="1:13" s="8" customForma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3" s="8" customFormat="1" x14ac:dyDescent="0.2">
      <c r="A9" s="9"/>
      <c r="B9" s="9"/>
      <c r="C9" s="9"/>
      <c r="D9" s="9" t="s">
        <v>2</v>
      </c>
      <c r="E9" s="9" t="s">
        <v>3</v>
      </c>
      <c r="F9" s="7"/>
      <c r="G9" s="9"/>
      <c r="H9" s="9"/>
      <c r="I9" s="9"/>
      <c r="J9" s="9" t="s">
        <v>2</v>
      </c>
      <c r="K9" s="9" t="s">
        <v>3</v>
      </c>
    </row>
    <row r="10" spans="1:13" s="8" customFormat="1" x14ac:dyDescent="0.2">
      <c r="A10" s="23" t="s">
        <v>4</v>
      </c>
      <c r="B10" s="9" t="s">
        <v>5</v>
      </c>
      <c r="C10" s="9" t="s">
        <v>6</v>
      </c>
      <c r="D10" s="9" t="s">
        <v>7</v>
      </c>
      <c r="E10" s="9" t="s">
        <v>8</v>
      </c>
      <c r="F10" s="7"/>
      <c r="G10" s="23" t="s">
        <v>4</v>
      </c>
      <c r="H10" s="9" t="s">
        <v>5</v>
      </c>
      <c r="I10" s="9" t="s">
        <v>6</v>
      </c>
      <c r="J10" s="9" t="s">
        <v>7</v>
      </c>
      <c r="K10" s="9" t="s">
        <v>8</v>
      </c>
    </row>
    <row r="11" spans="1:13" s="8" customFormat="1" x14ac:dyDescent="0.2">
      <c r="A11" s="23" t="s">
        <v>9</v>
      </c>
      <c r="B11" s="9" t="s">
        <v>10</v>
      </c>
      <c r="C11" s="9" t="s">
        <v>11</v>
      </c>
      <c r="D11" s="9" t="s">
        <v>12</v>
      </c>
      <c r="E11" s="9" t="s">
        <v>13</v>
      </c>
      <c r="F11" s="7"/>
      <c r="G11" s="23" t="s">
        <v>9</v>
      </c>
      <c r="H11" s="9" t="s">
        <v>10</v>
      </c>
      <c r="I11" s="9" t="s">
        <v>11</v>
      </c>
      <c r="J11" s="9" t="s">
        <v>12</v>
      </c>
      <c r="K11" s="9" t="s">
        <v>13</v>
      </c>
    </row>
    <row r="14" spans="1:13" s="8" customFormat="1" x14ac:dyDescent="0.2">
      <c r="A14" s="8" t="s">
        <v>14</v>
      </c>
      <c r="B14" s="8">
        <f>SUM(B16:B25)</f>
        <v>115468</v>
      </c>
      <c r="C14" s="8">
        <f>SUM(C17:C25)</f>
        <v>1590923</v>
      </c>
      <c r="D14" s="10">
        <f>SUM(D16:D25)</f>
        <v>21519648997</v>
      </c>
      <c r="E14" s="11">
        <v>4538</v>
      </c>
      <c r="G14" s="8" t="s">
        <v>14</v>
      </c>
      <c r="H14" s="8">
        <f>SUM(H16:H25)</f>
        <v>527</v>
      </c>
      <c r="I14" s="8">
        <f>SUM(I16:I25)</f>
        <v>8344</v>
      </c>
      <c r="J14" s="8">
        <f>SUM(J16:J23)</f>
        <v>171338623</v>
      </c>
      <c r="K14" s="8">
        <f>20718/3</f>
        <v>6906</v>
      </c>
      <c r="L14" s="4"/>
      <c r="M14" s="4"/>
    </row>
    <row r="16" spans="1:13" x14ac:dyDescent="0.2">
      <c r="A16" s="4" t="s">
        <v>15</v>
      </c>
      <c r="B16" s="4">
        <f>SUM(H16,B38,H38,B68,H68,B116,H116,B137,H137,B166,H166,B187,H187,B215,H215,B236,H236,B264)</f>
        <v>15974</v>
      </c>
      <c r="C16" s="4">
        <f>I16+C38+I38+C68+C116+I116+C137+I137+C166+I166+C187+I187+I215+C215+I236+C236+C264+I68</f>
        <v>0</v>
      </c>
      <c r="D16" s="4">
        <f t="shared" ref="D16:D21" si="0">SUM(J16,D38,J38,D68,J68,D116,J116,D137,J137,D166,J166,D187,J187,D215,J215,D236,J236,D264)</f>
        <v>93553254</v>
      </c>
      <c r="E16" s="4">
        <v>5565</v>
      </c>
      <c r="G16" s="4" t="s">
        <v>15</v>
      </c>
      <c r="H16" s="4">
        <v>88</v>
      </c>
      <c r="I16" s="4">
        <v>0</v>
      </c>
      <c r="J16" s="4">
        <v>180937</v>
      </c>
      <c r="K16" s="4">
        <v>5321.666666666667</v>
      </c>
    </row>
    <row r="17" spans="1:11" x14ac:dyDescent="0.2">
      <c r="A17" s="4" t="s">
        <v>16</v>
      </c>
      <c r="B17" s="4">
        <f t="shared" ref="B17:B21" si="1">H17+B39+H39+B69+B117+H117+B138+H138+B167+H167+B188+H188+H216+B216+H237+B237+B265+H69</f>
        <v>56221</v>
      </c>
      <c r="C17" s="4">
        <f t="shared" ref="C17:C21" si="2">I17+C39+I39+C69+C117+I117+C138+I138+C167+I167+C188+I188+I216+C216+I237+C237+C265+I69</f>
        <v>100332</v>
      </c>
      <c r="D17" s="4">
        <f t="shared" si="0"/>
        <v>1510257999</v>
      </c>
      <c r="E17" s="4">
        <v>5137</v>
      </c>
      <c r="G17" s="4" t="s">
        <v>16</v>
      </c>
      <c r="H17" s="4">
        <v>221</v>
      </c>
      <c r="I17" s="4">
        <v>390</v>
      </c>
      <c r="J17" s="4">
        <v>6622394</v>
      </c>
      <c r="K17" s="4">
        <v>5718.666666666667</v>
      </c>
    </row>
    <row r="18" spans="1:11" x14ac:dyDescent="0.2">
      <c r="A18" s="4" t="s">
        <v>17</v>
      </c>
      <c r="B18" s="4">
        <f t="shared" si="1"/>
        <v>16409</v>
      </c>
      <c r="C18" s="4">
        <f t="shared" si="2"/>
        <v>109187</v>
      </c>
      <c r="D18" s="4">
        <f t="shared" si="0"/>
        <v>1307459041</v>
      </c>
      <c r="E18" s="4">
        <v>4065</v>
      </c>
      <c r="G18" s="4" t="s">
        <v>17</v>
      </c>
      <c r="H18" s="4">
        <v>84</v>
      </c>
      <c r="I18" s="4">
        <v>583</v>
      </c>
      <c r="J18" s="4">
        <v>8927602</v>
      </c>
      <c r="K18" s="4">
        <v>5245.333333333333</v>
      </c>
    </row>
    <row r="19" spans="1:11" x14ac:dyDescent="0.2">
      <c r="A19" s="4" t="s">
        <v>56</v>
      </c>
      <c r="B19" s="4">
        <f t="shared" si="1"/>
        <v>12508</v>
      </c>
      <c r="C19" s="4">
        <f t="shared" si="2"/>
        <v>169904</v>
      </c>
      <c r="D19" s="4">
        <f t="shared" si="0"/>
        <v>1872316771</v>
      </c>
      <c r="E19" s="4">
        <v>3734</v>
      </c>
      <c r="G19" s="4" t="s">
        <v>56</v>
      </c>
      <c r="H19" s="4">
        <v>57</v>
      </c>
      <c r="I19" s="4">
        <v>765</v>
      </c>
      <c r="J19" s="4">
        <v>10226170</v>
      </c>
      <c r="K19" s="4">
        <v>4592</v>
      </c>
    </row>
    <row r="20" spans="1:11" x14ac:dyDescent="0.2">
      <c r="A20" s="4" t="s">
        <v>18</v>
      </c>
      <c r="B20" s="4">
        <f t="shared" si="1"/>
        <v>8843</v>
      </c>
      <c r="C20" s="4">
        <f t="shared" si="2"/>
        <v>267863</v>
      </c>
      <c r="D20" s="4">
        <f t="shared" si="0"/>
        <v>3035460971</v>
      </c>
      <c r="E20" s="4">
        <v>3827</v>
      </c>
      <c r="G20" s="4" t="s">
        <v>18</v>
      </c>
      <c r="H20" s="4">
        <v>42</v>
      </c>
      <c r="I20" s="4">
        <v>1254</v>
      </c>
      <c r="J20" s="4">
        <v>21764064</v>
      </c>
      <c r="K20" s="4">
        <v>5922</v>
      </c>
    </row>
    <row r="21" spans="1:11" x14ac:dyDescent="0.2">
      <c r="A21" s="4" t="s">
        <v>19</v>
      </c>
      <c r="B21" s="4">
        <f t="shared" si="1"/>
        <v>3243</v>
      </c>
      <c r="C21" s="4">
        <f t="shared" si="2"/>
        <v>223872</v>
      </c>
      <c r="D21" s="4">
        <f t="shared" si="0"/>
        <v>2899042291</v>
      </c>
      <c r="E21" s="4">
        <v>4356</v>
      </c>
      <c r="G21" s="4" t="s">
        <v>19</v>
      </c>
      <c r="H21" s="4">
        <v>18</v>
      </c>
      <c r="I21" s="4">
        <v>1151</v>
      </c>
      <c r="J21" s="4">
        <v>29751274</v>
      </c>
      <c r="K21" s="4">
        <v>8505.3333333333339</v>
      </c>
    </row>
    <row r="22" spans="1:11" x14ac:dyDescent="0.2">
      <c r="A22" s="4" t="s">
        <v>20</v>
      </c>
      <c r="B22" s="4">
        <v>1591</v>
      </c>
      <c r="C22" s="4">
        <v>237424</v>
      </c>
      <c r="D22" s="4">
        <v>3234876883</v>
      </c>
      <c r="E22" s="4">
        <v>4560</v>
      </c>
      <c r="G22" s="4" t="s">
        <v>20</v>
      </c>
      <c r="H22" s="4">
        <v>11</v>
      </c>
      <c r="I22" s="4">
        <v>1523</v>
      </c>
      <c r="J22" s="4">
        <v>30406108</v>
      </c>
      <c r="K22" s="4">
        <v>6862</v>
      </c>
    </row>
    <row r="23" spans="1:11" x14ac:dyDescent="0.2">
      <c r="A23" s="4" t="s">
        <v>21</v>
      </c>
      <c r="B23" s="4">
        <v>434</v>
      </c>
      <c r="C23" s="4">
        <v>150844</v>
      </c>
      <c r="D23" s="4">
        <v>2278748278</v>
      </c>
      <c r="E23" s="4">
        <v>5057</v>
      </c>
      <c r="G23" s="4" t="s">
        <v>22</v>
      </c>
      <c r="H23" s="4">
        <f>5+1</f>
        <v>6</v>
      </c>
      <c r="I23" s="4">
        <f>1620+1058</f>
        <v>2678</v>
      </c>
      <c r="J23" s="4">
        <f>SUM(35065170+28394904)</f>
        <v>63460074</v>
      </c>
      <c r="K23" s="4">
        <f>(35065170+28394904)/(1058+1620+1628+1054+1075+1650)</f>
        <v>7849.1124304267159</v>
      </c>
    </row>
    <row r="24" spans="1:11" x14ac:dyDescent="0.2">
      <c r="A24" s="4" t="s">
        <v>23</v>
      </c>
      <c r="B24" s="4">
        <v>158</v>
      </c>
      <c r="C24" s="4">
        <v>106962</v>
      </c>
      <c r="D24" s="4">
        <v>1746924893</v>
      </c>
      <c r="E24" s="4">
        <v>5441</v>
      </c>
    </row>
    <row r="25" spans="1:11" x14ac:dyDescent="0.2">
      <c r="A25" s="4" t="s">
        <v>57</v>
      </c>
      <c r="B25" s="4">
        <v>87</v>
      </c>
      <c r="C25" s="5">
        <v>224535</v>
      </c>
      <c r="D25" s="4">
        <v>3541008616</v>
      </c>
      <c r="E25" s="4">
        <v>5295</v>
      </c>
    </row>
    <row r="29" spans="1:11" x14ac:dyDescent="0.2">
      <c r="A29" s="34" t="s">
        <v>25</v>
      </c>
      <c r="B29" s="34"/>
      <c r="C29" s="34"/>
      <c r="D29" s="34"/>
      <c r="E29" s="34"/>
      <c r="F29" s="7"/>
      <c r="G29" s="34" t="s">
        <v>26</v>
      </c>
      <c r="H29" s="34"/>
      <c r="I29" s="34"/>
      <c r="J29" s="34"/>
      <c r="K29" s="34"/>
    </row>
    <row r="30" spans="1:1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 x14ac:dyDescent="0.2">
      <c r="A31" s="9"/>
      <c r="B31" s="9"/>
      <c r="C31" s="9"/>
      <c r="D31" s="9" t="s">
        <v>2</v>
      </c>
      <c r="E31" s="9" t="s">
        <v>3</v>
      </c>
      <c r="F31" s="7"/>
      <c r="G31" s="9"/>
      <c r="H31" s="9"/>
      <c r="I31" s="9"/>
      <c r="J31" s="9" t="s">
        <v>2</v>
      </c>
      <c r="K31" s="9" t="s">
        <v>3</v>
      </c>
    </row>
    <row r="32" spans="1:11" x14ac:dyDescent="0.2">
      <c r="A32" s="23" t="s">
        <v>4</v>
      </c>
      <c r="B32" s="9" t="s">
        <v>5</v>
      </c>
      <c r="C32" s="9" t="s">
        <v>6</v>
      </c>
      <c r="D32" s="9" t="s">
        <v>7</v>
      </c>
      <c r="E32" s="9" t="s">
        <v>8</v>
      </c>
      <c r="F32" s="7"/>
      <c r="G32" s="23" t="s">
        <v>4</v>
      </c>
      <c r="H32" s="9" t="s">
        <v>5</v>
      </c>
      <c r="I32" s="9" t="s">
        <v>6</v>
      </c>
      <c r="J32" s="9" t="s">
        <v>7</v>
      </c>
      <c r="K32" s="9" t="s">
        <v>8</v>
      </c>
    </row>
    <row r="33" spans="1:12" x14ac:dyDescent="0.2">
      <c r="A33" s="23" t="s">
        <v>9</v>
      </c>
      <c r="B33" s="9" t="s">
        <v>10</v>
      </c>
      <c r="C33" s="9" t="s">
        <v>11</v>
      </c>
      <c r="D33" s="9" t="s">
        <v>12</v>
      </c>
      <c r="E33" s="9" t="s">
        <v>13</v>
      </c>
      <c r="F33" s="7"/>
      <c r="G33" s="23" t="s">
        <v>9</v>
      </c>
      <c r="H33" s="9" t="s">
        <v>10</v>
      </c>
      <c r="I33" s="9" t="s">
        <v>11</v>
      </c>
      <c r="J33" s="9" t="s">
        <v>12</v>
      </c>
      <c r="K33" s="9" t="s">
        <v>13</v>
      </c>
    </row>
    <row r="36" spans="1:12" s="8" customFormat="1" x14ac:dyDescent="0.2">
      <c r="A36" s="13" t="s">
        <v>27</v>
      </c>
      <c r="B36" s="13">
        <f>SUM(B38:B46)</f>
        <v>255</v>
      </c>
      <c r="C36" s="13">
        <f>SUM(C38:C46)</f>
        <v>3537</v>
      </c>
      <c r="D36" s="27">
        <f>SUM(D38:D44)</f>
        <v>83953751</v>
      </c>
      <c r="E36" s="27">
        <f>23631/3</f>
        <v>7877</v>
      </c>
      <c r="F36" s="13"/>
      <c r="G36" s="13" t="s">
        <v>14</v>
      </c>
      <c r="H36" s="13">
        <f>SUM(H38:H47)</f>
        <v>13304</v>
      </c>
      <c r="I36" s="13">
        <f>SUM(I38:I47)</f>
        <v>118889</v>
      </c>
      <c r="J36" s="27">
        <f>SUM(J38:J47)</f>
        <v>1714178325</v>
      </c>
      <c r="K36" s="31">
        <f>14641/3</f>
        <v>4880.333333333333</v>
      </c>
      <c r="L36" s="13"/>
    </row>
    <row r="37" spans="1:12" x14ac:dyDescent="0.2">
      <c r="A37" s="4" t="s">
        <v>28</v>
      </c>
      <c r="B37" s="4" t="s">
        <v>28</v>
      </c>
    </row>
    <row r="38" spans="1:12" x14ac:dyDescent="0.2">
      <c r="A38" s="4" t="s">
        <v>15</v>
      </c>
      <c r="B38" s="4">
        <v>22</v>
      </c>
      <c r="C38" s="4">
        <v>0</v>
      </c>
      <c r="D38" s="4">
        <v>217945</v>
      </c>
      <c r="E38" s="4">
        <v>3823.6666666666665</v>
      </c>
      <c r="G38" s="4" t="s">
        <v>15</v>
      </c>
      <c r="H38" s="4">
        <v>1875</v>
      </c>
      <c r="I38" s="4">
        <v>0</v>
      </c>
      <c r="J38" s="4">
        <v>9700181</v>
      </c>
      <c r="K38" s="4">
        <f>12420/3</f>
        <v>4140</v>
      </c>
    </row>
    <row r="39" spans="1:12" x14ac:dyDescent="0.2">
      <c r="A39" s="4" t="s">
        <v>16</v>
      </c>
      <c r="B39" s="4">
        <v>131</v>
      </c>
      <c r="C39" s="4">
        <v>271</v>
      </c>
      <c r="D39" s="4">
        <v>6028748</v>
      </c>
      <c r="E39" s="4">
        <v>7545.333333333333</v>
      </c>
      <c r="G39" s="4" t="s">
        <v>16</v>
      </c>
      <c r="H39" s="4">
        <v>6498</v>
      </c>
      <c r="I39" s="4">
        <v>13457</v>
      </c>
      <c r="J39" s="4">
        <v>130130216</v>
      </c>
      <c r="K39" s="4">
        <f>9990/3</f>
        <v>3330</v>
      </c>
    </row>
    <row r="40" spans="1:12" x14ac:dyDescent="0.2">
      <c r="A40" s="4" t="s">
        <v>17</v>
      </c>
      <c r="B40" s="4">
        <v>41</v>
      </c>
      <c r="C40" s="4">
        <v>270</v>
      </c>
      <c r="D40" s="4">
        <v>5006151</v>
      </c>
      <c r="E40" s="4">
        <v>6418</v>
      </c>
      <c r="G40" s="4" t="s">
        <v>17</v>
      </c>
      <c r="H40" s="4">
        <v>2341</v>
      </c>
      <c r="I40" s="4">
        <v>15368</v>
      </c>
      <c r="J40" s="4">
        <v>191741295</v>
      </c>
      <c r="K40" s="4">
        <f>12882/3</f>
        <v>4294</v>
      </c>
    </row>
    <row r="41" spans="1:12" x14ac:dyDescent="0.2">
      <c r="A41" s="4" t="s">
        <v>56</v>
      </c>
      <c r="B41" s="4">
        <v>28</v>
      </c>
      <c r="C41" s="4">
        <v>378</v>
      </c>
      <c r="D41" s="4">
        <v>7052005</v>
      </c>
      <c r="E41" s="4">
        <v>6428.333333333333</v>
      </c>
      <c r="G41" s="4" t="s">
        <v>56</v>
      </c>
      <c r="H41" s="4">
        <v>1389</v>
      </c>
      <c r="I41" s="4">
        <v>18630</v>
      </c>
      <c r="J41" s="4">
        <v>209481973</v>
      </c>
      <c r="K41" s="4">
        <f>11474/3</f>
        <v>3824.6666666666665</v>
      </c>
    </row>
    <row r="42" spans="1:12" x14ac:dyDescent="0.2">
      <c r="A42" s="4" t="s">
        <v>18</v>
      </c>
      <c r="B42" s="4">
        <v>17</v>
      </c>
      <c r="C42" s="4">
        <v>483</v>
      </c>
      <c r="D42" s="4">
        <v>12239788</v>
      </c>
      <c r="E42" s="4">
        <v>8159.666666666667</v>
      </c>
      <c r="G42" s="4" t="s">
        <v>18</v>
      </c>
      <c r="H42" s="4">
        <v>839</v>
      </c>
      <c r="I42" s="4">
        <v>24972</v>
      </c>
      <c r="J42" s="4">
        <v>316994803</v>
      </c>
      <c r="K42" s="4">
        <f>12898/3</f>
        <v>4299.333333333333</v>
      </c>
    </row>
    <row r="43" spans="1:12" x14ac:dyDescent="0.2">
      <c r="A43" s="4" t="s">
        <v>19</v>
      </c>
      <c r="B43" s="4">
        <v>10</v>
      </c>
      <c r="C43" s="4">
        <v>725</v>
      </c>
      <c r="D43" s="4">
        <v>19306265</v>
      </c>
      <c r="E43" s="4">
        <v>8864.3333333333339</v>
      </c>
      <c r="G43" s="4" t="s">
        <v>19</v>
      </c>
      <c r="H43" s="4">
        <v>227</v>
      </c>
      <c r="I43" s="4">
        <v>15456</v>
      </c>
      <c r="J43" s="4">
        <v>236455794</v>
      </c>
      <c r="K43" s="4">
        <f>15774/3</f>
        <v>5258</v>
      </c>
    </row>
    <row r="44" spans="1:12" x14ac:dyDescent="0.2">
      <c r="A44" s="4" t="s">
        <v>38</v>
      </c>
      <c r="B44" s="4">
        <f>4+2</f>
        <v>6</v>
      </c>
      <c r="C44" s="4">
        <f>568+842</f>
        <v>1410</v>
      </c>
      <c r="D44" s="4">
        <f>12006271+22096578</f>
        <v>34102849</v>
      </c>
      <c r="E44" s="4">
        <f>(21286496+9177546)/(568+842+575+838+577+847)</f>
        <v>7173.0732281610544</v>
      </c>
      <c r="G44" s="4" t="s">
        <v>20</v>
      </c>
      <c r="H44" s="4">
        <v>106</v>
      </c>
      <c r="I44" s="4">
        <v>15728</v>
      </c>
      <c r="J44" s="4">
        <v>240323485</v>
      </c>
      <c r="K44" s="4">
        <f>15569/3</f>
        <v>5189.666666666667</v>
      </c>
    </row>
    <row r="45" spans="1:12" x14ac:dyDescent="0.2">
      <c r="B45" s="4" t="s">
        <v>28</v>
      </c>
      <c r="G45" s="4" t="s">
        <v>21</v>
      </c>
      <c r="H45" s="4">
        <v>20</v>
      </c>
      <c r="I45" s="4">
        <v>6413</v>
      </c>
      <c r="J45" s="4">
        <v>126757662</v>
      </c>
      <c r="K45" s="4">
        <f>20182/3</f>
        <v>6727.333333333333</v>
      </c>
    </row>
    <row r="46" spans="1:12" x14ac:dyDescent="0.2">
      <c r="G46" s="4" t="s">
        <v>23</v>
      </c>
      <c r="H46" s="4">
        <v>6</v>
      </c>
      <c r="I46" s="4">
        <v>3484</v>
      </c>
      <c r="J46" s="4">
        <v>58878239</v>
      </c>
      <c r="K46" s="4">
        <f>17097/3</f>
        <v>5699</v>
      </c>
    </row>
    <row r="47" spans="1:12" x14ac:dyDescent="0.2">
      <c r="G47" s="4" t="s">
        <v>57</v>
      </c>
      <c r="H47" s="4">
        <v>3</v>
      </c>
      <c r="I47" s="4">
        <v>5381</v>
      </c>
      <c r="J47" s="4">
        <v>193714677</v>
      </c>
      <c r="K47" s="4">
        <f>35824/3</f>
        <v>11941.333333333334</v>
      </c>
    </row>
    <row r="50" spans="1:11" x14ac:dyDescent="0.2">
      <c r="A50" s="41" t="s">
        <v>64</v>
      </c>
      <c r="B50" s="42"/>
      <c r="C50" s="42"/>
      <c r="D50" s="42"/>
      <c r="E50" s="42"/>
      <c r="F50" s="42"/>
      <c r="G50" s="42"/>
      <c r="H50" s="42"/>
      <c r="I50" s="42"/>
    </row>
    <row r="54" spans="1:11" x14ac:dyDescent="0.2">
      <c r="D54" s="41"/>
      <c r="E54" s="42"/>
      <c r="F54" s="42"/>
      <c r="G54" s="42"/>
      <c r="H54" s="42"/>
    </row>
    <row r="55" spans="1:11" x14ac:dyDescent="0.2">
      <c r="D55" s="25"/>
      <c r="E55" s="26"/>
      <c r="F55" s="26"/>
      <c r="G55" s="26"/>
      <c r="H55" s="26"/>
    </row>
    <row r="56" spans="1:11" x14ac:dyDescent="0.2">
      <c r="A56" s="35" t="s">
        <v>60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</row>
    <row r="57" spans="1:11" x14ac:dyDescent="0.2">
      <c r="A57" s="35" t="s">
        <v>66</v>
      </c>
      <c r="B57" s="35"/>
      <c r="C57" s="35"/>
      <c r="D57" s="35"/>
      <c r="E57" s="35"/>
      <c r="F57" s="35"/>
      <c r="G57" s="35"/>
      <c r="H57" s="35"/>
      <c r="I57" s="35"/>
      <c r="J57" s="35"/>
      <c r="K57" s="35"/>
    </row>
    <row r="58" spans="1:1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">
      <c r="A59" s="34" t="s">
        <v>29</v>
      </c>
      <c r="B59" s="34"/>
      <c r="C59" s="34"/>
      <c r="D59" s="34"/>
      <c r="E59" s="34"/>
      <c r="F59" s="7"/>
      <c r="G59" s="34" t="s">
        <v>30</v>
      </c>
      <c r="H59" s="34"/>
      <c r="I59" s="34"/>
      <c r="J59" s="34"/>
      <c r="K59" s="34"/>
    </row>
    <row r="60" spans="1:11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</row>
    <row r="61" spans="1:11" x14ac:dyDescent="0.2">
      <c r="A61" s="9"/>
      <c r="B61" s="9"/>
      <c r="C61" s="9"/>
      <c r="D61" s="9" t="s">
        <v>2</v>
      </c>
      <c r="E61" s="9" t="s">
        <v>3</v>
      </c>
      <c r="F61" s="7"/>
      <c r="G61" s="9"/>
      <c r="H61" s="9"/>
      <c r="I61" s="9"/>
      <c r="J61" s="9" t="s">
        <v>2</v>
      </c>
      <c r="K61" s="9" t="s">
        <v>3</v>
      </c>
    </row>
    <row r="62" spans="1:11" x14ac:dyDescent="0.2">
      <c r="A62" s="23" t="s">
        <v>4</v>
      </c>
      <c r="B62" s="9" t="s">
        <v>5</v>
      </c>
      <c r="C62" s="9" t="s">
        <v>6</v>
      </c>
      <c r="D62" s="9" t="s">
        <v>7</v>
      </c>
      <c r="E62" s="9" t="s">
        <v>8</v>
      </c>
      <c r="F62" s="7"/>
      <c r="G62" s="23" t="s">
        <v>4</v>
      </c>
      <c r="H62" s="9" t="s">
        <v>5</v>
      </c>
      <c r="I62" s="9" t="s">
        <v>6</v>
      </c>
      <c r="J62" s="9" t="s">
        <v>7</v>
      </c>
      <c r="K62" s="9" t="s">
        <v>8</v>
      </c>
    </row>
    <row r="63" spans="1:11" x14ac:dyDescent="0.2">
      <c r="A63" s="23" t="s">
        <v>9</v>
      </c>
      <c r="B63" s="9" t="s">
        <v>10</v>
      </c>
      <c r="C63" s="9" t="s">
        <v>11</v>
      </c>
      <c r="D63" s="9" t="s">
        <v>12</v>
      </c>
      <c r="E63" s="9" t="s">
        <v>13</v>
      </c>
      <c r="F63" s="7"/>
      <c r="G63" s="23" t="s">
        <v>9</v>
      </c>
      <c r="H63" s="9" t="s">
        <v>10</v>
      </c>
      <c r="I63" s="9" t="s">
        <v>11</v>
      </c>
      <c r="J63" s="9" t="s">
        <v>12</v>
      </c>
      <c r="K63" s="9" t="s">
        <v>13</v>
      </c>
    </row>
    <row r="66" spans="1:14" s="8" customFormat="1" x14ac:dyDescent="0.2">
      <c r="A66" s="8" t="s">
        <v>14</v>
      </c>
      <c r="B66" s="8">
        <f>SUM(B67:B77)</f>
        <v>4758</v>
      </c>
      <c r="C66" s="8">
        <f>SUM(C67:C77)</f>
        <v>143708</v>
      </c>
      <c r="D66" s="15">
        <f>SUM( D68:D77)</f>
        <v>2230079635</v>
      </c>
      <c r="E66" s="11">
        <f>15636/3</f>
        <v>5212</v>
      </c>
      <c r="G66" s="8" t="s">
        <v>27</v>
      </c>
      <c r="H66" s="8">
        <f>SUM(H67:H77)</f>
        <v>17376</v>
      </c>
      <c r="I66" s="8">
        <f>SUM(I67:I77)</f>
        <v>231974</v>
      </c>
      <c r="J66" s="15">
        <f>SUM(J68:J77)</f>
        <v>2793443680</v>
      </c>
      <c r="K66" s="15">
        <v>4014.6666666666665</v>
      </c>
    </row>
    <row r="67" spans="1:14" x14ac:dyDescent="0.2">
      <c r="G67" s="4" t="s">
        <v>28</v>
      </c>
    </row>
    <row r="68" spans="1:14" x14ac:dyDescent="0.2">
      <c r="A68" s="12" t="s">
        <v>15</v>
      </c>
      <c r="B68" s="12">
        <v>456</v>
      </c>
      <c r="C68" s="12">
        <v>0</v>
      </c>
      <c r="D68" s="12">
        <v>2616959</v>
      </c>
      <c r="E68" s="12">
        <v>4013.6666666666665</v>
      </c>
      <c r="F68" s="12"/>
      <c r="G68" s="12" t="s">
        <v>15</v>
      </c>
      <c r="H68" s="12">
        <f>+B89+H89</f>
        <v>2182</v>
      </c>
      <c r="I68" s="12">
        <f t="shared" ref="I68:J76" si="3">+C89+I89</f>
        <v>0</v>
      </c>
      <c r="J68" s="12">
        <f t="shared" si="3"/>
        <v>8562740</v>
      </c>
      <c r="K68" s="12">
        <v>4359.666666666667</v>
      </c>
      <c r="L68" s="12"/>
    </row>
    <row r="69" spans="1:14" x14ac:dyDescent="0.2">
      <c r="A69" s="12" t="s">
        <v>16</v>
      </c>
      <c r="B69" s="12">
        <v>1808</v>
      </c>
      <c r="C69" s="12">
        <v>3489</v>
      </c>
      <c r="D69" s="12">
        <v>55251250</v>
      </c>
      <c r="E69" s="12">
        <v>5332</v>
      </c>
      <c r="F69" s="12"/>
      <c r="G69" s="12" t="s">
        <v>16</v>
      </c>
      <c r="H69" s="12">
        <f t="shared" ref="H69:H76" si="4">+B90+H90</f>
        <v>7315</v>
      </c>
      <c r="I69" s="12">
        <f t="shared" si="3"/>
        <v>13971</v>
      </c>
      <c r="J69" s="12">
        <f t="shared" si="3"/>
        <v>240419090</v>
      </c>
      <c r="K69" s="12">
        <v>5791</v>
      </c>
      <c r="L69" s="12"/>
    </row>
    <row r="70" spans="1:14" x14ac:dyDescent="0.2">
      <c r="A70" s="12" t="s">
        <v>17</v>
      </c>
      <c r="B70" s="12">
        <v>725</v>
      </c>
      <c r="C70" s="12">
        <v>4854</v>
      </c>
      <c r="D70" s="12">
        <v>51742277</v>
      </c>
      <c r="E70" s="12">
        <v>3619.3333333333335</v>
      </c>
      <c r="F70" s="12"/>
      <c r="G70" s="12" t="s">
        <v>17</v>
      </c>
      <c r="H70" s="12">
        <f t="shared" si="4"/>
        <v>3107</v>
      </c>
      <c r="I70" s="12">
        <f t="shared" si="3"/>
        <v>21063</v>
      </c>
      <c r="J70" s="12">
        <f t="shared" si="3"/>
        <v>241500005</v>
      </c>
      <c r="K70" s="12">
        <v>3854.3333333333335</v>
      </c>
      <c r="L70" s="12"/>
    </row>
    <row r="71" spans="1:14" x14ac:dyDescent="0.2">
      <c r="A71" s="30" t="s">
        <v>56</v>
      </c>
      <c r="B71" s="12">
        <v>670</v>
      </c>
      <c r="C71" s="12">
        <v>9189</v>
      </c>
      <c r="D71" s="12">
        <v>103763681</v>
      </c>
      <c r="E71" s="12">
        <v>3817</v>
      </c>
      <c r="F71" s="12"/>
      <c r="G71" s="30" t="s">
        <v>56</v>
      </c>
      <c r="H71" s="12">
        <f t="shared" si="4"/>
        <v>2489</v>
      </c>
      <c r="I71" s="12">
        <f t="shared" si="3"/>
        <v>33644</v>
      </c>
      <c r="J71" s="12">
        <f t="shared" si="3"/>
        <v>347726473</v>
      </c>
      <c r="K71" s="12">
        <v>3473.3333333333335</v>
      </c>
      <c r="L71" s="12"/>
    </row>
    <row r="72" spans="1:14" x14ac:dyDescent="0.2">
      <c r="A72" s="12" t="s">
        <v>18</v>
      </c>
      <c r="B72" s="12">
        <v>571</v>
      </c>
      <c r="C72" s="12">
        <v>17561</v>
      </c>
      <c r="D72" s="12">
        <v>209736368</v>
      </c>
      <c r="E72" s="12">
        <v>4013.3333333333335</v>
      </c>
      <c r="F72" s="12"/>
      <c r="G72" s="12" t="s">
        <v>18</v>
      </c>
      <c r="H72" s="12">
        <f t="shared" si="4"/>
        <v>1452</v>
      </c>
      <c r="I72" s="12">
        <f t="shared" si="3"/>
        <v>43699</v>
      </c>
      <c r="J72" s="12">
        <f t="shared" si="3"/>
        <v>512376173</v>
      </c>
      <c r="K72" s="12">
        <v>3937.6666666666665</v>
      </c>
      <c r="L72" s="12"/>
    </row>
    <row r="73" spans="1:14" x14ac:dyDescent="0.2">
      <c r="A73" s="12" t="s">
        <v>19</v>
      </c>
      <c r="B73" s="12">
        <v>259</v>
      </c>
      <c r="C73" s="12">
        <v>18004</v>
      </c>
      <c r="D73" s="12">
        <v>247607587</v>
      </c>
      <c r="E73" s="12">
        <v>4622</v>
      </c>
      <c r="F73" s="12"/>
      <c r="G73" s="12" t="s">
        <v>19</v>
      </c>
      <c r="H73" s="12">
        <f t="shared" si="4"/>
        <v>421</v>
      </c>
      <c r="I73" s="12">
        <f t="shared" si="3"/>
        <v>28946</v>
      </c>
      <c r="J73" s="12">
        <f t="shared" si="3"/>
        <v>366708715</v>
      </c>
      <c r="K73" s="12">
        <v>4247.333333333333</v>
      </c>
      <c r="L73" s="12"/>
    </row>
    <row r="74" spans="1:14" x14ac:dyDescent="0.2">
      <c r="A74" s="12" t="s">
        <v>20</v>
      </c>
      <c r="B74" s="12">
        <v>170</v>
      </c>
      <c r="C74" s="12">
        <v>26978</v>
      </c>
      <c r="D74" s="12">
        <v>395986172</v>
      </c>
      <c r="E74" s="12">
        <v>4919.666666666667</v>
      </c>
      <c r="F74" s="12"/>
      <c r="G74" s="12" t="s">
        <v>20</v>
      </c>
      <c r="H74" s="12">
        <f t="shared" si="4"/>
        <v>310</v>
      </c>
      <c r="I74" s="12">
        <f t="shared" si="3"/>
        <v>47114</v>
      </c>
      <c r="J74" s="12">
        <f t="shared" si="3"/>
        <v>496516030</v>
      </c>
      <c r="K74" s="12">
        <v>3500.3333333333335</v>
      </c>
      <c r="L74" s="12"/>
    </row>
    <row r="75" spans="1:14" x14ac:dyDescent="0.2">
      <c r="A75" s="12" t="s">
        <v>21</v>
      </c>
      <c r="B75" s="12">
        <v>60</v>
      </c>
      <c r="C75" s="12">
        <v>21776</v>
      </c>
      <c r="D75" s="12">
        <v>385507762</v>
      </c>
      <c r="E75" s="12">
        <v>5913.666666666667</v>
      </c>
      <c r="F75" s="12"/>
      <c r="G75" s="12" t="s">
        <v>21</v>
      </c>
      <c r="H75" s="12">
        <f t="shared" si="4"/>
        <v>81</v>
      </c>
      <c r="I75" s="12">
        <f t="shared" si="3"/>
        <v>28342</v>
      </c>
      <c r="J75" s="12">
        <f t="shared" si="3"/>
        <v>296390196</v>
      </c>
      <c r="K75" s="12">
        <v>3471.3333333333335</v>
      </c>
      <c r="L75" s="12"/>
      <c r="M75" s="16"/>
      <c r="N75" s="16"/>
    </row>
    <row r="76" spans="1:14" x14ac:dyDescent="0.2">
      <c r="A76" s="12" t="s">
        <v>23</v>
      </c>
      <c r="B76" s="12">
        <v>22</v>
      </c>
      <c r="C76" s="12">
        <v>15254</v>
      </c>
      <c r="D76" s="12">
        <v>247345542</v>
      </c>
      <c r="E76" s="12">
        <v>5428.333333333333</v>
      </c>
      <c r="F76" s="12"/>
      <c r="G76" s="29" t="s">
        <v>65</v>
      </c>
      <c r="H76" s="12">
        <f t="shared" si="4"/>
        <v>19</v>
      </c>
      <c r="I76" s="12">
        <f t="shared" si="3"/>
        <v>15195</v>
      </c>
      <c r="J76" s="12">
        <f t="shared" si="3"/>
        <v>283244258</v>
      </c>
      <c r="K76" s="29">
        <f>(K97+E97)/2</f>
        <v>6394.918861258323</v>
      </c>
      <c r="L76" s="12"/>
      <c r="M76" s="16"/>
      <c r="N76" s="16"/>
    </row>
    <row r="77" spans="1:14" x14ac:dyDescent="0.2">
      <c r="A77" s="12" t="s">
        <v>24</v>
      </c>
      <c r="B77" s="12">
        <v>17</v>
      </c>
      <c r="C77" s="12">
        <v>26603</v>
      </c>
      <c r="D77" s="12">
        <v>530522037</v>
      </c>
      <c r="E77" s="12">
        <v>6775.666666666667</v>
      </c>
      <c r="F77" s="12"/>
      <c r="G77" s="12"/>
      <c r="H77" s="29" t="s">
        <v>28</v>
      </c>
      <c r="I77" s="29" t="s">
        <v>28</v>
      </c>
      <c r="J77" s="29" t="s">
        <v>28</v>
      </c>
      <c r="K77" s="29" t="s">
        <v>28</v>
      </c>
      <c r="L77" s="12"/>
    </row>
    <row r="78" spans="1:14" x14ac:dyDescent="0.2">
      <c r="E78" s="4">
        <v>5212</v>
      </c>
      <c r="G78" s="12"/>
      <c r="H78" s="12"/>
      <c r="I78" s="12"/>
      <c r="J78" s="12"/>
      <c r="K78" s="12"/>
    </row>
    <row r="80" spans="1:14" x14ac:dyDescent="0.2">
      <c r="A80" s="34" t="s">
        <v>32</v>
      </c>
      <c r="B80" s="34"/>
      <c r="C80" s="34"/>
      <c r="D80" s="34"/>
      <c r="E80" s="34"/>
      <c r="F80" s="7"/>
      <c r="G80" s="34" t="s">
        <v>33</v>
      </c>
      <c r="H80" s="34"/>
      <c r="I80" s="34"/>
      <c r="J80" s="34"/>
      <c r="K80" s="34"/>
    </row>
    <row r="81" spans="1:12" x14ac:dyDescent="0.2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</row>
    <row r="82" spans="1:12" x14ac:dyDescent="0.2">
      <c r="A82" s="9"/>
      <c r="B82" s="9"/>
      <c r="C82" s="9"/>
      <c r="D82" s="9" t="s">
        <v>2</v>
      </c>
      <c r="E82" s="9" t="s">
        <v>3</v>
      </c>
      <c r="F82" s="7"/>
      <c r="G82" s="9"/>
      <c r="H82" s="9"/>
      <c r="I82" s="9"/>
      <c r="J82" s="9" t="s">
        <v>2</v>
      </c>
      <c r="K82" s="9" t="s">
        <v>3</v>
      </c>
    </row>
    <row r="83" spans="1:12" x14ac:dyDescent="0.2">
      <c r="A83" s="23" t="s">
        <v>4</v>
      </c>
      <c r="B83" s="9" t="s">
        <v>5</v>
      </c>
      <c r="C83" s="9" t="s">
        <v>6</v>
      </c>
      <c r="D83" s="9" t="s">
        <v>7</v>
      </c>
      <c r="E83" s="9" t="s">
        <v>8</v>
      </c>
      <c r="F83" s="7"/>
      <c r="G83" s="23" t="s">
        <v>4</v>
      </c>
      <c r="H83" s="9" t="s">
        <v>5</v>
      </c>
      <c r="I83" s="9" t="s">
        <v>6</v>
      </c>
      <c r="J83" s="9" t="s">
        <v>7</v>
      </c>
      <c r="K83" s="9" t="s">
        <v>8</v>
      </c>
    </row>
    <row r="84" spans="1:12" x14ac:dyDescent="0.2">
      <c r="A84" s="23" t="s">
        <v>9</v>
      </c>
      <c r="B84" s="9" t="s">
        <v>10</v>
      </c>
      <c r="C84" s="9" t="s">
        <v>11</v>
      </c>
      <c r="D84" s="9" t="s">
        <v>12</v>
      </c>
      <c r="E84" s="9" t="s">
        <v>13</v>
      </c>
      <c r="F84" s="7"/>
      <c r="G84" s="23" t="s">
        <v>9</v>
      </c>
      <c r="H84" s="9" t="s">
        <v>10</v>
      </c>
      <c r="I84" s="9" t="s">
        <v>11</v>
      </c>
      <c r="J84" s="9" t="s">
        <v>12</v>
      </c>
      <c r="K84" s="9" t="s">
        <v>13</v>
      </c>
    </row>
    <row r="87" spans="1:12" s="8" customFormat="1" x14ac:dyDescent="0.2">
      <c r="A87" s="8" t="s">
        <v>27</v>
      </c>
      <c r="B87" s="8">
        <f>SUM(B89:B97)</f>
        <v>6402</v>
      </c>
      <c r="C87" s="8">
        <f>SUM(C89:C97)</f>
        <v>54378</v>
      </c>
      <c r="D87" s="15">
        <f>SUM(D89:D97)</f>
        <v>1092919666</v>
      </c>
      <c r="E87" s="15">
        <v>6700.333333333333</v>
      </c>
      <c r="G87" s="8" t="s">
        <v>27</v>
      </c>
      <c r="H87" s="8">
        <f>SUM(H89:H98)</f>
        <v>10974</v>
      </c>
      <c r="I87" s="8">
        <f>SUM(I89:I98)</f>
        <v>177596</v>
      </c>
      <c r="J87" s="15">
        <f>SUM(J89:J98)</f>
        <v>1700524014</v>
      </c>
      <c r="K87" s="15">
        <v>3192.3333333333335</v>
      </c>
    </row>
    <row r="88" spans="1:12" x14ac:dyDescent="0.2">
      <c r="A88" s="4" t="s">
        <v>28</v>
      </c>
      <c r="G88" s="4" t="s">
        <v>28</v>
      </c>
    </row>
    <row r="89" spans="1:12" x14ac:dyDescent="0.2">
      <c r="A89" s="12" t="s">
        <v>15</v>
      </c>
      <c r="B89" s="12">
        <v>687</v>
      </c>
      <c r="C89" s="12">
        <v>0</v>
      </c>
      <c r="D89" s="12">
        <v>4399655</v>
      </c>
      <c r="E89" s="12">
        <v>7142.333333333333</v>
      </c>
      <c r="F89" s="12"/>
      <c r="G89" s="12" t="s">
        <v>15</v>
      </c>
      <c r="H89" s="12">
        <v>1495</v>
      </c>
      <c r="I89" s="12">
        <v>0</v>
      </c>
      <c r="J89" s="12">
        <v>4163085</v>
      </c>
      <c r="K89" s="12">
        <v>3088.3333333333335</v>
      </c>
      <c r="L89" s="12"/>
    </row>
    <row r="90" spans="1:12" x14ac:dyDescent="0.2">
      <c r="A90" s="12" t="s">
        <v>16</v>
      </c>
      <c r="B90" s="12">
        <v>3698</v>
      </c>
      <c r="C90" s="12">
        <v>6257</v>
      </c>
      <c r="D90" s="12">
        <v>162826554</v>
      </c>
      <c r="E90" s="12">
        <v>8780.6666666666661</v>
      </c>
      <c r="F90" s="12"/>
      <c r="G90" s="12" t="s">
        <v>16</v>
      </c>
      <c r="H90" s="12">
        <v>3617</v>
      </c>
      <c r="I90" s="12">
        <v>7714</v>
      </c>
      <c r="J90" s="12">
        <v>77592536</v>
      </c>
      <c r="K90" s="12">
        <v>3377.6666666666665</v>
      </c>
      <c r="L90" s="12"/>
    </row>
    <row r="91" spans="1:12" x14ac:dyDescent="0.2">
      <c r="A91" s="12" t="s">
        <v>17</v>
      </c>
      <c r="B91" s="12">
        <v>842</v>
      </c>
      <c r="C91" s="12">
        <v>5613</v>
      </c>
      <c r="D91" s="12">
        <v>123950402</v>
      </c>
      <c r="E91" s="12">
        <v>7462.333333333333</v>
      </c>
      <c r="F91" s="12"/>
      <c r="G91" s="12" t="s">
        <v>17</v>
      </c>
      <c r="H91" s="12">
        <v>2265</v>
      </c>
      <c r="I91" s="12">
        <v>15450</v>
      </c>
      <c r="J91" s="12">
        <v>117549603</v>
      </c>
      <c r="K91" s="12">
        <v>2552.6666666666665</v>
      </c>
      <c r="L91" s="12"/>
    </row>
    <row r="92" spans="1:12" x14ac:dyDescent="0.2">
      <c r="A92" s="30" t="s">
        <v>56</v>
      </c>
      <c r="B92" s="12">
        <v>579</v>
      </c>
      <c r="C92" s="12">
        <v>7906</v>
      </c>
      <c r="D92" s="12">
        <v>148054039</v>
      </c>
      <c r="E92" s="12">
        <v>6296.666666666667</v>
      </c>
      <c r="F92" s="12"/>
      <c r="G92" s="30" t="s">
        <v>56</v>
      </c>
      <c r="H92" s="12">
        <v>1910</v>
      </c>
      <c r="I92" s="12">
        <v>25738</v>
      </c>
      <c r="J92" s="12">
        <v>199672434</v>
      </c>
      <c r="K92" s="12">
        <v>2606.6666666666665</v>
      </c>
      <c r="L92" s="12"/>
    </row>
    <row r="93" spans="1:12" x14ac:dyDescent="0.2">
      <c r="A93" s="12" t="s">
        <v>18</v>
      </c>
      <c r="B93" s="12">
        <v>408</v>
      </c>
      <c r="C93" s="12">
        <v>12328</v>
      </c>
      <c r="D93" s="12">
        <v>249255765</v>
      </c>
      <c r="E93" s="12">
        <v>6796</v>
      </c>
      <c r="F93" s="12"/>
      <c r="G93" s="12" t="s">
        <v>18</v>
      </c>
      <c r="H93" s="12">
        <v>1044</v>
      </c>
      <c r="I93" s="12">
        <v>31371</v>
      </c>
      <c r="J93" s="12">
        <v>263120408</v>
      </c>
      <c r="K93" s="12">
        <v>2816</v>
      </c>
      <c r="L93" s="12"/>
    </row>
    <row r="94" spans="1:12" x14ac:dyDescent="0.2">
      <c r="A94" s="12" t="s">
        <v>19</v>
      </c>
      <c r="B94" s="12">
        <v>127</v>
      </c>
      <c r="C94" s="12">
        <v>8812</v>
      </c>
      <c r="D94" s="12">
        <v>163021984</v>
      </c>
      <c r="E94" s="12">
        <v>6212.333333333333</v>
      </c>
      <c r="F94" s="12"/>
      <c r="G94" s="12" t="s">
        <v>19</v>
      </c>
      <c r="H94" s="12">
        <v>294</v>
      </c>
      <c r="I94" s="12">
        <v>20134</v>
      </c>
      <c r="J94" s="12">
        <v>203686731</v>
      </c>
      <c r="K94" s="12">
        <v>3389.3333333333335</v>
      </c>
      <c r="L94" s="12"/>
    </row>
    <row r="95" spans="1:12" x14ac:dyDescent="0.2">
      <c r="A95" s="12" t="s">
        <v>20</v>
      </c>
      <c r="B95" s="12">
        <v>46</v>
      </c>
      <c r="C95" s="12">
        <v>6596</v>
      </c>
      <c r="D95" s="12">
        <v>98093403</v>
      </c>
      <c r="E95" s="12">
        <v>4919.333333333333</v>
      </c>
      <c r="F95" s="12"/>
      <c r="G95" s="12" t="s">
        <v>20</v>
      </c>
      <c r="H95" s="12">
        <v>264</v>
      </c>
      <c r="I95" s="12">
        <v>40518</v>
      </c>
      <c r="J95" s="12">
        <v>398422627</v>
      </c>
      <c r="K95" s="12">
        <v>3268</v>
      </c>
      <c r="L95" s="12"/>
    </row>
    <row r="96" spans="1:12" x14ac:dyDescent="0.2">
      <c r="A96" s="12" t="s">
        <v>21</v>
      </c>
      <c r="B96" s="12">
        <v>11</v>
      </c>
      <c r="C96" s="12">
        <v>3986</v>
      </c>
      <c r="D96" s="12">
        <v>82149990</v>
      </c>
      <c r="E96" s="12">
        <v>6893.666666666667</v>
      </c>
      <c r="F96" s="12"/>
      <c r="G96" s="12" t="s">
        <v>21</v>
      </c>
      <c r="H96" s="12">
        <v>70</v>
      </c>
      <c r="I96" s="12">
        <v>24356</v>
      </c>
      <c r="J96" s="12">
        <v>214240206</v>
      </c>
      <c r="K96" s="29">
        <v>2916.3333333333335</v>
      </c>
      <c r="L96" s="12"/>
    </row>
    <row r="97" spans="1:12" x14ac:dyDescent="0.2">
      <c r="A97" s="12" t="s">
        <v>31</v>
      </c>
      <c r="B97" s="12">
        <v>4</v>
      </c>
      <c r="C97" s="12">
        <v>2880</v>
      </c>
      <c r="D97" s="12">
        <v>61167874</v>
      </c>
      <c r="E97" s="12">
        <v>6754.333333333333</v>
      </c>
      <c r="F97" s="12"/>
      <c r="G97" s="29" t="s">
        <v>31</v>
      </c>
      <c r="H97" s="12">
        <f>13+2</f>
        <v>15</v>
      </c>
      <c r="I97" s="12">
        <f>7890+4425</f>
        <v>12315</v>
      </c>
      <c r="J97" s="12">
        <f>159847905+62228479</f>
        <v>222076384</v>
      </c>
      <c r="K97" s="29">
        <f>(159847905+62228479)/(7682+4432+7878+4488+7890+4425)</f>
        <v>6035.5043891833129</v>
      </c>
      <c r="L97" s="12"/>
    </row>
    <row r="98" spans="1:12" x14ac:dyDescent="0.2">
      <c r="A98" s="12"/>
      <c r="B98" s="12"/>
      <c r="C98" s="12"/>
      <c r="D98" s="12"/>
      <c r="G98" s="29" t="s">
        <v>28</v>
      </c>
      <c r="H98" s="5" t="s">
        <v>28</v>
      </c>
      <c r="I98" s="5" t="s">
        <v>28</v>
      </c>
      <c r="J98" s="5" t="s">
        <v>28</v>
      </c>
      <c r="K98" s="32" t="s">
        <v>28</v>
      </c>
    </row>
    <row r="99" spans="1:12" x14ac:dyDescent="0.2">
      <c r="A99" s="12"/>
      <c r="B99" s="12"/>
      <c r="C99" s="12"/>
      <c r="D99" s="12"/>
      <c r="K99" s="32"/>
    </row>
    <row r="100" spans="1:12" x14ac:dyDescent="0.2">
      <c r="A100" s="41" t="s">
        <v>64</v>
      </c>
      <c r="B100" s="42"/>
      <c r="C100" s="42"/>
      <c r="D100" s="42"/>
      <c r="E100" s="42"/>
      <c r="F100" s="42"/>
      <c r="G100" s="42"/>
      <c r="H100" s="42"/>
      <c r="I100" s="42"/>
    </row>
    <row r="101" spans="1:12" x14ac:dyDescent="0.2">
      <c r="A101" s="41"/>
      <c r="B101" s="42"/>
      <c r="C101" s="42"/>
      <c r="D101" s="42"/>
      <c r="E101" s="42"/>
      <c r="F101" s="42"/>
      <c r="G101" s="42"/>
      <c r="H101" s="42"/>
      <c r="I101" s="42"/>
    </row>
    <row r="103" spans="1:12" x14ac:dyDescent="0.2">
      <c r="D103" s="41"/>
      <c r="E103" s="41"/>
      <c r="F103" s="41"/>
      <c r="G103" s="41"/>
      <c r="H103" s="41"/>
    </row>
    <row r="104" spans="1:12" x14ac:dyDescent="0.2">
      <c r="A104" s="35" t="s">
        <v>60</v>
      </c>
      <c r="B104" s="43"/>
      <c r="C104" s="43"/>
      <c r="D104" s="43"/>
      <c r="E104" s="43"/>
      <c r="F104" s="43"/>
      <c r="G104" s="43"/>
      <c r="H104" s="43"/>
      <c r="I104" s="43"/>
      <c r="J104" s="43"/>
      <c r="K104" s="43"/>
    </row>
    <row r="105" spans="1:12" x14ac:dyDescent="0.2">
      <c r="A105" s="35" t="s">
        <v>66</v>
      </c>
      <c r="B105" s="36"/>
      <c r="C105" s="36"/>
      <c r="D105" s="36"/>
      <c r="E105" s="36"/>
      <c r="F105" s="36"/>
      <c r="G105" s="36"/>
      <c r="H105" s="36"/>
      <c r="I105" s="36"/>
      <c r="J105" s="36"/>
      <c r="K105" s="36"/>
    </row>
    <row r="106" spans="1:12" x14ac:dyDescent="0.2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</row>
    <row r="107" spans="1:12" x14ac:dyDescent="0.2">
      <c r="A107" s="34" t="s">
        <v>34</v>
      </c>
      <c r="B107" s="34"/>
      <c r="C107" s="34"/>
      <c r="D107" s="34"/>
      <c r="E107" s="34"/>
      <c r="F107" s="7"/>
      <c r="G107" s="34" t="s">
        <v>35</v>
      </c>
      <c r="H107" s="34"/>
      <c r="I107" s="34"/>
      <c r="J107" s="34"/>
      <c r="K107" s="34"/>
    </row>
    <row r="108" spans="1:12" x14ac:dyDescent="0.2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</row>
    <row r="109" spans="1:12" x14ac:dyDescent="0.2">
      <c r="A109" s="9"/>
      <c r="B109" s="9"/>
      <c r="C109" s="9"/>
      <c r="D109" s="9" t="s">
        <v>2</v>
      </c>
      <c r="E109" s="9" t="s">
        <v>3</v>
      </c>
      <c r="F109" s="7"/>
      <c r="G109" s="9"/>
      <c r="H109" s="9"/>
      <c r="I109" s="9"/>
      <c r="J109" s="9" t="s">
        <v>2</v>
      </c>
      <c r="K109" s="9" t="s">
        <v>3</v>
      </c>
    </row>
    <row r="110" spans="1:12" x14ac:dyDescent="0.2">
      <c r="A110" s="23" t="s">
        <v>4</v>
      </c>
      <c r="B110" s="9" t="s">
        <v>5</v>
      </c>
      <c r="C110" s="9" t="s">
        <v>6</v>
      </c>
      <c r="D110" s="9" t="s">
        <v>7</v>
      </c>
      <c r="E110" s="9" t="s">
        <v>8</v>
      </c>
      <c r="F110" s="7"/>
      <c r="G110" s="23" t="s">
        <v>4</v>
      </c>
      <c r="H110" s="9" t="s">
        <v>5</v>
      </c>
      <c r="I110" s="9" t="s">
        <v>6</v>
      </c>
      <c r="J110" s="9" t="s">
        <v>7</v>
      </c>
      <c r="K110" s="9" t="s">
        <v>8</v>
      </c>
    </row>
    <row r="111" spans="1:12" x14ac:dyDescent="0.2">
      <c r="A111" s="23" t="s">
        <v>9</v>
      </c>
      <c r="B111" s="9" t="s">
        <v>10</v>
      </c>
      <c r="C111" s="9" t="s">
        <v>11</v>
      </c>
      <c r="D111" s="9" t="s">
        <v>12</v>
      </c>
      <c r="E111" s="9" t="s">
        <v>13</v>
      </c>
      <c r="F111" s="7"/>
      <c r="G111" s="23" t="s">
        <v>9</v>
      </c>
      <c r="H111" s="9" t="s">
        <v>10</v>
      </c>
      <c r="I111" s="9" t="s">
        <v>11</v>
      </c>
      <c r="J111" s="9" t="s">
        <v>12</v>
      </c>
      <c r="K111" s="9" t="s">
        <v>13</v>
      </c>
    </row>
    <row r="114" spans="1:11" s="8" customFormat="1" x14ac:dyDescent="0.2">
      <c r="A114" s="13" t="s">
        <v>27</v>
      </c>
      <c r="B114" s="13">
        <f>SUM(B116:B125)</f>
        <v>3014</v>
      </c>
      <c r="C114" s="13">
        <f>SUM(C116:C125)</f>
        <v>64558</v>
      </c>
      <c r="D114" s="27">
        <f>SUM(D116:D125)</f>
        <v>804064758</v>
      </c>
      <c r="E114" s="31">
        <v>4115.666666666667</v>
      </c>
      <c r="F114" s="13"/>
      <c r="G114" s="13" t="s">
        <v>27</v>
      </c>
      <c r="H114" s="13">
        <f>SUM(H116:H125)</f>
        <v>3622</v>
      </c>
      <c r="I114" s="13">
        <f>SUM(I116:I125)</f>
        <v>39404</v>
      </c>
      <c r="J114" s="27">
        <f>SUM(J116:J125)</f>
        <v>1073442343</v>
      </c>
      <c r="K114" s="27">
        <f>27442/3</f>
        <v>9147.3333333333339</v>
      </c>
    </row>
    <row r="115" spans="1:11" x14ac:dyDescent="0.2">
      <c r="A115" s="12" t="s">
        <v>28</v>
      </c>
      <c r="B115" s="12"/>
      <c r="C115" s="12"/>
      <c r="D115" s="12"/>
      <c r="E115" s="12"/>
      <c r="F115" s="12"/>
      <c r="G115" s="12" t="s">
        <v>28</v>
      </c>
      <c r="H115" s="12"/>
      <c r="I115" s="12"/>
      <c r="J115" s="12"/>
      <c r="K115" s="12"/>
    </row>
    <row r="116" spans="1:11" x14ac:dyDescent="0.2">
      <c r="A116" s="12" t="s">
        <v>15</v>
      </c>
      <c r="B116" s="12">
        <v>385</v>
      </c>
      <c r="C116" s="12">
        <v>0</v>
      </c>
      <c r="D116" s="12">
        <v>1388239</v>
      </c>
      <c r="E116" s="12">
        <v>3386</v>
      </c>
      <c r="F116" s="12"/>
      <c r="G116" s="12" t="s">
        <v>15</v>
      </c>
      <c r="H116" s="12">
        <v>530</v>
      </c>
      <c r="I116" s="12">
        <v>0</v>
      </c>
      <c r="J116" s="4">
        <v>5794736</v>
      </c>
      <c r="K116" s="12">
        <f>37792/3</f>
        <v>12597.333333333334</v>
      </c>
    </row>
    <row r="117" spans="1:11" x14ac:dyDescent="0.2">
      <c r="A117" s="12" t="s">
        <v>16</v>
      </c>
      <c r="B117" s="12">
        <v>1505</v>
      </c>
      <c r="C117" s="12">
        <v>2721</v>
      </c>
      <c r="D117" s="12">
        <v>31134914</v>
      </c>
      <c r="E117" s="12">
        <v>3924.6666666666665</v>
      </c>
      <c r="F117" s="12"/>
      <c r="G117" s="12" t="s">
        <v>16</v>
      </c>
      <c r="H117" s="12">
        <v>2235</v>
      </c>
      <c r="I117" s="12">
        <v>3446</v>
      </c>
      <c r="J117" s="4">
        <v>89848446</v>
      </c>
      <c r="K117" s="12">
        <f>27674/3</f>
        <v>9224.6666666666661</v>
      </c>
    </row>
    <row r="118" spans="1:11" x14ac:dyDescent="0.2">
      <c r="A118" s="12" t="s">
        <v>17</v>
      </c>
      <c r="B118" s="12">
        <v>375</v>
      </c>
      <c r="C118" s="12">
        <v>2443</v>
      </c>
      <c r="D118" s="12">
        <v>27599915</v>
      </c>
      <c r="E118" s="12">
        <v>3860.6666666666665</v>
      </c>
      <c r="F118" s="12"/>
      <c r="G118" s="12" t="s">
        <v>17</v>
      </c>
      <c r="H118" s="12">
        <v>308</v>
      </c>
      <c r="I118" s="12">
        <v>2066</v>
      </c>
      <c r="J118" s="12">
        <v>48156213</v>
      </c>
      <c r="K118" s="12">
        <v>7794.666666666667</v>
      </c>
    </row>
    <row r="119" spans="1:11" x14ac:dyDescent="0.2">
      <c r="A119" s="30" t="s">
        <v>56</v>
      </c>
      <c r="B119" s="12">
        <v>305</v>
      </c>
      <c r="C119" s="12">
        <v>4238</v>
      </c>
      <c r="D119" s="12">
        <v>55938598</v>
      </c>
      <c r="E119" s="12">
        <v>4377.333333333333</v>
      </c>
      <c r="F119" s="12"/>
      <c r="G119" s="30" t="s">
        <v>56</v>
      </c>
      <c r="H119" s="12">
        <v>208</v>
      </c>
      <c r="I119" s="12">
        <v>2760</v>
      </c>
      <c r="J119" s="12">
        <v>58267665</v>
      </c>
      <c r="K119" s="12">
        <v>7249</v>
      </c>
    </row>
    <row r="120" spans="1:11" x14ac:dyDescent="0.2">
      <c r="A120" s="12" t="s">
        <v>18</v>
      </c>
      <c r="B120" s="12">
        <v>256</v>
      </c>
      <c r="C120" s="12">
        <v>7984</v>
      </c>
      <c r="D120" s="12">
        <v>88110070</v>
      </c>
      <c r="E120" s="12">
        <v>3669.3333333333335</v>
      </c>
      <c r="F120" s="12"/>
      <c r="G120" s="12" t="s">
        <v>18</v>
      </c>
      <c r="H120" s="12">
        <v>187</v>
      </c>
      <c r="I120" s="12">
        <v>5771</v>
      </c>
      <c r="J120" s="12">
        <v>125424414</v>
      </c>
      <c r="K120" s="12">
        <v>7303.666666666667</v>
      </c>
    </row>
    <row r="121" spans="1:11" x14ac:dyDescent="0.2">
      <c r="A121" s="12" t="s">
        <v>19</v>
      </c>
      <c r="B121" s="12">
        <v>91</v>
      </c>
      <c r="C121" s="12">
        <v>6404</v>
      </c>
      <c r="D121" s="12">
        <v>68272387</v>
      </c>
      <c r="E121" s="12">
        <v>3541.3333333333335</v>
      </c>
      <c r="F121" s="12"/>
      <c r="G121" s="12" t="s">
        <v>19</v>
      </c>
      <c r="H121" s="12">
        <v>92</v>
      </c>
      <c r="I121" s="12">
        <v>6515</v>
      </c>
      <c r="J121" s="12">
        <v>161387682</v>
      </c>
      <c r="K121" s="12">
        <v>8424</v>
      </c>
    </row>
    <row r="122" spans="1:11" x14ac:dyDescent="0.2">
      <c r="A122" s="12" t="s">
        <v>20</v>
      </c>
      <c r="B122" s="12">
        <v>55</v>
      </c>
      <c r="C122" s="12">
        <v>8340</v>
      </c>
      <c r="D122" s="12">
        <v>106525999</v>
      </c>
      <c r="E122" s="12">
        <v>4234</v>
      </c>
      <c r="F122" s="12"/>
      <c r="G122" s="12" t="s">
        <v>20</v>
      </c>
      <c r="H122" s="12">
        <v>38</v>
      </c>
      <c r="I122" s="12">
        <v>5721</v>
      </c>
      <c r="J122" s="12">
        <v>133313649</v>
      </c>
      <c r="K122" s="12">
        <v>7635.333333333333</v>
      </c>
    </row>
    <row r="123" spans="1:11" x14ac:dyDescent="0.2">
      <c r="A123" s="12" t="s">
        <v>21</v>
      </c>
      <c r="B123" s="12">
        <v>23</v>
      </c>
      <c r="C123" s="12">
        <v>8228</v>
      </c>
      <c r="D123" s="12">
        <v>102198319</v>
      </c>
      <c r="E123" s="12">
        <v>4093.6666666666665</v>
      </c>
      <c r="F123" s="12"/>
      <c r="G123" s="12" t="s">
        <v>21</v>
      </c>
      <c r="H123" s="12">
        <v>14</v>
      </c>
      <c r="I123" s="12">
        <v>4956</v>
      </c>
      <c r="J123" s="12">
        <v>108213795</v>
      </c>
      <c r="K123" s="12">
        <v>7369.666666666667</v>
      </c>
    </row>
    <row r="124" spans="1:11" x14ac:dyDescent="0.2">
      <c r="A124" s="12" t="s">
        <v>23</v>
      </c>
      <c r="B124" s="12">
        <v>12</v>
      </c>
      <c r="C124" s="12">
        <v>8285</v>
      </c>
      <c r="D124" s="12">
        <v>93199005</v>
      </c>
      <c r="E124" s="12">
        <v>3669</v>
      </c>
      <c r="F124" s="12"/>
      <c r="G124" s="12" t="s">
        <v>23</v>
      </c>
      <c r="H124" s="12">
        <v>7</v>
      </c>
      <c r="I124" s="12">
        <v>4760</v>
      </c>
      <c r="J124" s="12">
        <v>201170144</v>
      </c>
      <c r="K124" s="29">
        <v>14085.666666666666</v>
      </c>
    </row>
    <row r="125" spans="1:11" x14ac:dyDescent="0.2">
      <c r="A125" s="12" t="s">
        <v>24</v>
      </c>
      <c r="B125" s="12">
        <v>7</v>
      </c>
      <c r="C125" s="12">
        <v>15915</v>
      </c>
      <c r="D125" s="12">
        <v>229697312</v>
      </c>
      <c r="E125" s="12">
        <v>4757.333333333333</v>
      </c>
      <c r="F125" s="12"/>
      <c r="G125" s="12" t="s">
        <v>24</v>
      </c>
      <c r="H125" s="12">
        <v>3</v>
      </c>
      <c r="I125" s="12">
        <v>3409</v>
      </c>
      <c r="J125" s="12">
        <v>141865599</v>
      </c>
      <c r="K125" s="12">
        <v>13939.666666666666</v>
      </c>
    </row>
    <row r="128" spans="1:11" x14ac:dyDescent="0.2">
      <c r="A128" s="34" t="s">
        <v>36</v>
      </c>
      <c r="B128" s="34"/>
      <c r="C128" s="34"/>
      <c r="D128" s="34"/>
      <c r="E128" s="34"/>
      <c r="F128" s="7"/>
      <c r="G128" s="34" t="s">
        <v>37</v>
      </c>
      <c r="H128" s="34"/>
      <c r="I128" s="34"/>
      <c r="J128" s="34"/>
      <c r="K128" s="34"/>
    </row>
    <row r="129" spans="1:12" x14ac:dyDescent="0.2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</row>
    <row r="130" spans="1:12" x14ac:dyDescent="0.2">
      <c r="A130" s="9"/>
      <c r="B130" s="9"/>
      <c r="C130" s="9"/>
      <c r="D130" s="9" t="s">
        <v>2</v>
      </c>
      <c r="E130" s="9" t="s">
        <v>3</v>
      </c>
      <c r="F130" s="7"/>
      <c r="G130" s="9"/>
      <c r="H130" s="9"/>
      <c r="I130" s="9"/>
      <c r="J130" s="9" t="s">
        <v>2</v>
      </c>
      <c r="K130" s="9" t="s">
        <v>3</v>
      </c>
    </row>
    <row r="131" spans="1:12" x14ac:dyDescent="0.2">
      <c r="A131" s="23" t="s">
        <v>4</v>
      </c>
      <c r="B131" s="9" t="s">
        <v>5</v>
      </c>
      <c r="C131" s="9" t="s">
        <v>6</v>
      </c>
      <c r="D131" s="9" t="s">
        <v>7</v>
      </c>
      <c r="E131" s="9" t="s">
        <v>8</v>
      </c>
      <c r="F131" s="7"/>
      <c r="G131" s="23" t="s">
        <v>4</v>
      </c>
      <c r="H131" s="9" t="s">
        <v>5</v>
      </c>
      <c r="I131" s="9" t="s">
        <v>6</v>
      </c>
      <c r="J131" s="9" t="s">
        <v>7</v>
      </c>
      <c r="K131" s="9" t="s">
        <v>8</v>
      </c>
    </row>
    <row r="132" spans="1:12" x14ac:dyDescent="0.2">
      <c r="A132" s="23" t="s">
        <v>9</v>
      </c>
      <c r="B132" s="9" t="s">
        <v>10</v>
      </c>
      <c r="C132" s="9" t="s">
        <v>11</v>
      </c>
      <c r="D132" s="9" t="s">
        <v>12</v>
      </c>
      <c r="E132" s="9" t="s">
        <v>13</v>
      </c>
      <c r="F132" s="7"/>
      <c r="G132" s="23" t="s">
        <v>9</v>
      </c>
      <c r="H132" s="9" t="s">
        <v>10</v>
      </c>
      <c r="I132" s="9" t="s">
        <v>11</v>
      </c>
      <c r="J132" s="9" t="s">
        <v>12</v>
      </c>
      <c r="K132" s="9" t="s">
        <v>13</v>
      </c>
    </row>
    <row r="135" spans="1:12" s="8" customFormat="1" x14ac:dyDescent="0.2">
      <c r="A135" s="13" t="s">
        <v>27</v>
      </c>
      <c r="B135" s="13">
        <f>SUM(B137:B146)</f>
        <v>6679</v>
      </c>
      <c r="C135" s="13">
        <f>SUM(C137:C146)</f>
        <v>73508</v>
      </c>
      <c r="D135" s="27">
        <f>SUM( D137:D146)</f>
        <v>1801184740</v>
      </c>
      <c r="E135" s="27">
        <v>8195.6666666666661</v>
      </c>
      <c r="F135" s="13"/>
      <c r="G135" s="13" t="s">
        <v>27</v>
      </c>
      <c r="H135" s="13">
        <f>SUM(H137:H144)</f>
        <v>6484</v>
      </c>
      <c r="I135" s="13">
        <f>SUM(I137:I144)</f>
        <v>21911</v>
      </c>
      <c r="J135" s="27">
        <f>SUM(J137:J144)</f>
        <v>319932154</v>
      </c>
      <c r="K135" s="27">
        <v>4885.333333333333</v>
      </c>
      <c r="L135" s="13"/>
    </row>
    <row r="136" spans="1:12" x14ac:dyDescent="0.2">
      <c r="A136" s="12" t="s">
        <v>28</v>
      </c>
      <c r="B136" s="12"/>
      <c r="C136" s="12"/>
      <c r="D136" s="12"/>
      <c r="E136" s="12"/>
      <c r="F136" s="12"/>
      <c r="G136" s="12" t="s">
        <v>28</v>
      </c>
      <c r="H136" s="12"/>
      <c r="I136" s="12"/>
      <c r="J136" s="12"/>
      <c r="K136" s="12"/>
      <c r="L136" s="12"/>
    </row>
    <row r="137" spans="1:12" x14ac:dyDescent="0.2">
      <c r="A137" s="28">
        <v>0</v>
      </c>
      <c r="B137" s="12">
        <v>782</v>
      </c>
      <c r="C137" s="12">
        <v>0</v>
      </c>
      <c r="D137" s="12">
        <v>11126695</v>
      </c>
      <c r="E137" s="12">
        <v>9287.6666666666661</v>
      </c>
      <c r="F137" s="12"/>
      <c r="G137" s="12" t="s">
        <v>15</v>
      </c>
      <c r="H137" s="12">
        <v>1250</v>
      </c>
      <c r="I137" s="4">
        <v>0</v>
      </c>
      <c r="J137" s="12">
        <v>4287766</v>
      </c>
      <c r="K137" s="12">
        <v>5747.666666666667</v>
      </c>
      <c r="L137" s="12"/>
    </row>
    <row r="138" spans="1:12" x14ac:dyDescent="0.2">
      <c r="A138" s="12" t="s">
        <v>16</v>
      </c>
      <c r="B138" s="12">
        <v>3796</v>
      </c>
      <c r="C138" s="12">
        <v>6863</v>
      </c>
      <c r="D138" s="12">
        <v>155210844</v>
      </c>
      <c r="E138" s="12">
        <v>7670</v>
      </c>
      <c r="F138" s="12"/>
      <c r="G138" s="12" t="s">
        <v>16</v>
      </c>
      <c r="H138" s="12">
        <v>4172</v>
      </c>
      <c r="I138" s="4">
        <v>6735</v>
      </c>
      <c r="J138" s="12">
        <v>88437461</v>
      </c>
      <c r="K138" s="12">
        <v>4465</v>
      </c>
      <c r="L138" s="12"/>
    </row>
    <row r="139" spans="1:12" x14ac:dyDescent="0.2">
      <c r="A139" s="12" t="s">
        <v>17</v>
      </c>
      <c r="B139" s="12">
        <v>1072</v>
      </c>
      <c r="C139" s="12">
        <v>7038</v>
      </c>
      <c r="D139" s="12">
        <v>143975971</v>
      </c>
      <c r="E139" s="12">
        <v>6880</v>
      </c>
      <c r="F139" s="12"/>
      <c r="G139" s="12" t="s">
        <v>17</v>
      </c>
      <c r="H139" s="12">
        <v>631</v>
      </c>
      <c r="I139" s="4">
        <v>4103</v>
      </c>
      <c r="J139" s="12">
        <v>64172787</v>
      </c>
      <c r="K139" s="12">
        <v>5291.333333333333</v>
      </c>
      <c r="L139" s="12"/>
    </row>
    <row r="140" spans="1:12" x14ac:dyDescent="0.2">
      <c r="A140" s="30" t="s">
        <v>56</v>
      </c>
      <c r="B140" s="12">
        <v>563</v>
      </c>
      <c r="C140" s="12">
        <v>7489</v>
      </c>
      <c r="D140" s="12">
        <v>182104128</v>
      </c>
      <c r="E140" s="12">
        <v>8150.333333333333</v>
      </c>
      <c r="F140" s="12"/>
      <c r="G140" s="30" t="s">
        <v>56</v>
      </c>
      <c r="H140" s="12">
        <v>279</v>
      </c>
      <c r="I140" s="4">
        <v>3654</v>
      </c>
      <c r="J140" s="12">
        <v>47362139</v>
      </c>
      <c r="K140" s="12">
        <v>4394.333333333333</v>
      </c>
      <c r="L140" s="12"/>
    </row>
    <row r="141" spans="1:12" x14ac:dyDescent="0.2">
      <c r="A141" s="12" t="s">
        <v>18</v>
      </c>
      <c r="B141" s="12">
        <v>261</v>
      </c>
      <c r="C141" s="12">
        <v>7865</v>
      </c>
      <c r="D141" s="12">
        <v>226387730</v>
      </c>
      <c r="E141" s="12">
        <v>9698.6666666666661</v>
      </c>
      <c r="F141" s="12"/>
      <c r="G141" s="12" t="s">
        <v>18</v>
      </c>
      <c r="H141" s="12">
        <v>110</v>
      </c>
      <c r="I141" s="4">
        <v>3431</v>
      </c>
      <c r="J141" s="12">
        <v>51544003</v>
      </c>
      <c r="K141" s="12">
        <v>5087.333333333333</v>
      </c>
      <c r="L141" s="12"/>
    </row>
    <row r="142" spans="1:12" x14ac:dyDescent="0.2">
      <c r="A142" s="12" t="s">
        <v>19</v>
      </c>
      <c r="B142" s="12">
        <v>101</v>
      </c>
      <c r="C142" s="12">
        <v>6909</v>
      </c>
      <c r="D142" s="12">
        <v>224644910</v>
      </c>
      <c r="E142" s="12">
        <v>10980.333333333334</v>
      </c>
      <c r="F142" s="12"/>
      <c r="G142" s="12" t="s">
        <v>19</v>
      </c>
      <c r="H142" s="12">
        <v>32</v>
      </c>
      <c r="I142" s="4">
        <v>2143</v>
      </c>
      <c r="J142" s="12">
        <v>35963385</v>
      </c>
      <c r="K142" s="12">
        <v>5609.666666666667</v>
      </c>
      <c r="L142" s="12"/>
    </row>
    <row r="143" spans="1:12" x14ac:dyDescent="0.2">
      <c r="A143" s="12" t="s">
        <v>20</v>
      </c>
      <c r="B143" s="12">
        <v>59</v>
      </c>
      <c r="C143" s="12">
        <v>8913</v>
      </c>
      <c r="D143" s="12">
        <v>215778828</v>
      </c>
      <c r="E143" s="12">
        <v>8127</v>
      </c>
      <c r="F143" s="12"/>
      <c r="G143" s="12" t="s">
        <v>20</v>
      </c>
      <c r="H143" s="12">
        <v>7</v>
      </c>
      <c r="I143" s="4">
        <v>949</v>
      </c>
      <c r="J143" s="12">
        <v>12998256</v>
      </c>
      <c r="K143" s="29">
        <v>4640.666666666667</v>
      </c>
      <c r="L143" s="12"/>
    </row>
    <row r="144" spans="1:12" x14ac:dyDescent="0.2">
      <c r="A144" s="12" t="s">
        <v>21</v>
      </c>
      <c r="B144" s="12">
        <v>29</v>
      </c>
      <c r="C144" s="12">
        <v>10080</v>
      </c>
      <c r="D144" s="12">
        <v>253483542</v>
      </c>
      <c r="E144" s="12">
        <v>8567.6666666666661</v>
      </c>
      <c r="F144" s="12"/>
      <c r="G144" s="12" t="s">
        <v>22</v>
      </c>
      <c r="H144" s="12">
        <v>3</v>
      </c>
      <c r="I144" s="4">
        <v>896</v>
      </c>
      <c r="J144" s="12">
        <v>15166357</v>
      </c>
      <c r="K144" s="12">
        <v>5650.666666666667</v>
      </c>
      <c r="L144" s="12"/>
    </row>
    <row r="145" spans="1:12" x14ac:dyDescent="0.2">
      <c r="A145" s="12" t="s">
        <v>23</v>
      </c>
      <c r="B145" s="12">
        <v>9</v>
      </c>
      <c r="C145" s="12">
        <v>6334</v>
      </c>
      <c r="D145" s="12">
        <v>140305435</v>
      </c>
      <c r="E145" s="12">
        <v>7395.666666666667</v>
      </c>
      <c r="F145" s="12"/>
      <c r="G145" s="12"/>
      <c r="H145" s="12"/>
      <c r="J145" s="12"/>
      <c r="K145" s="12"/>
      <c r="L145" s="12"/>
    </row>
    <row r="146" spans="1:12" x14ac:dyDescent="0.2">
      <c r="A146" s="12" t="s">
        <v>24</v>
      </c>
      <c r="B146" s="12">
        <v>7</v>
      </c>
      <c r="C146" s="12">
        <v>12017</v>
      </c>
      <c r="D146" s="12">
        <v>248166657</v>
      </c>
      <c r="E146" s="12">
        <v>6862.666666666667</v>
      </c>
      <c r="F146" s="12"/>
      <c r="G146" s="12"/>
      <c r="H146" s="12"/>
      <c r="I146" s="12"/>
      <c r="J146" s="12"/>
      <c r="K146" s="12"/>
      <c r="L146" s="12"/>
    </row>
    <row r="148" spans="1:12" x14ac:dyDescent="0.2">
      <c r="A148" s="41" t="s">
        <v>64</v>
      </c>
      <c r="B148" s="42"/>
      <c r="C148" s="42"/>
      <c r="D148" s="42"/>
      <c r="E148" s="42"/>
      <c r="F148" s="42"/>
      <c r="G148" s="42"/>
      <c r="H148" s="42"/>
      <c r="I148" s="42"/>
    </row>
    <row r="153" spans="1:12" x14ac:dyDescent="0.2">
      <c r="D153" s="41"/>
      <c r="E153" s="41"/>
      <c r="F153" s="41"/>
      <c r="G153" s="41"/>
      <c r="H153" s="41"/>
    </row>
    <row r="154" spans="1:12" x14ac:dyDescent="0.2">
      <c r="A154" s="35" t="s">
        <v>60</v>
      </c>
      <c r="B154" s="43"/>
      <c r="C154" s="43"/>
      <c r="D154" s="43"/>
      <c r="E154" s="43"/>
      <c r="F154" s="43"/>
      <c r="G154" s="43"/>
      <c r="H154" s="43"/>
      <c r="I154" s="43"/>
      <c r="J154" s="43"/>
      <c r="K154" s="43"/>
    </row>
    <row r="155" spans="1:12" x14ac:dyDescent="0.2">
      <c r="A155" s="35" t="s">
        <v>66</v>
      </c>
      <c r="B155" s="36"/>
      <c r="C155" s="36"/>
      <c r="D155" s="36"/>
      <c r="E155" s="36"/>
      <c r="F155" s="36"/>
      <c r="G155" s="36"/>
      <c r="H155" s="36"/>
      <c r="I155" s="36"/>
      <c r="J155" s="36"/>
      <c r="K155" s="36"/>
    </row>
    <row r="156" spans="1:12" x14ac:dyDescent="0.2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</row>
    <row r="157" spans="1:12" x14ac:dyDescent="0.2">
      <c r="A157" s="34" t="s">
        <v>39</v>
      </c>
      <c r="B157" s="34"/>
      <c r="C157" s="34"/>
      <c r="D157" s="34"/>
      <c r="E157" s="34"/>
      <c r="F157" s="7"/>
      <c r="G157" s="34" t="s">
        <v>40</v>
      </c>
      <c r="H157" s="34"/>
      <c r="I157" s="34"/>
      <c r="J157" s="34"/>
      <c r="K157" s="34"/>
    </row>
    <row r="158" spans="1:12" x14ac:dyDescent="0.2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</row>
    <row r="159" spans="1:12" x14ac:dyDescent="0.2">
      <c r="A159" s="9"/>
      <c r="B159" s="9"/>
      <c r="C159" s="9"/>
      <c r="D159" s="9" t="s">
        <v>2</v>
      </c>
      <c r="E159" s="9" t="s">
        <v>3</v>
      </c>
      <c r="F159" s="7"/>
      <c r="G159" s="9"/>
      <c r="H159" s="9"/>
      <c r="I159" s="9"/>
      <c r="J159" s="9" t="s">
        <v>2</v>
      </c>
      <c r="K159" s="9" t="s">
        <v>3</v>
      </c>
    </row>
    <row r="160" spans="1:12" x14ac:dyDescent="0.2">
      <c r="A160" s="23" t="s">
        <v>4</v>
      </c>
      <c r="B160" s="9" t="s">
        <v>5</v>
      </c>
      <c r="C160" s="9" t="s">
        <v>6</v>
      </c>
      <c r="D160" s="9" t="s">
        <v>7</v>
      </c>
      <c r="E160" s="9" t="s">
        <v>8</v>
      </c>
      <c r="F160" s="7"/>
      <c r="G160" s="23" t="s">
        <v>4</v>
      </c>
      <c r="H160" s="9" t="s">
        <v>5</v>
      </c>
      <c r="I160" s="9" t="s">
        <v>6</v>
      </c>
      <c r="J160" s="9" t="s">
        <v>7</v>
      </c>
      <c r="K160" s="9" t="s">
        <v>8</v>
      </c>
    </row>
    <row r="161" spans="1:12" x14ac:dyDescent="0.2">
      <c r="A161" s="23" t="s">
        <v>9</v>
      </c>
      <c r="B161" s="9" t="s">
        <v>10</v>
      </c>
      <c r="C161" s="9" t="s">
        <v>11</v>
      </c>
      <c r="D161" s="9" t="s">
        <v>12</v>
      </c>
      <c r="E161" s="9" t="s">
        <v>13</v>
      </c>
      <c r="F161" s="7"/>
      <c r="G161" s="23" t="s">
        <v>9</v>
      </c>
      <c r="H161" s="9" t="s">
        <v>10</v>
      </c>
      <c r="I161" s="9" t="s">
        <v>11</v>
      </c>
      <c r="J161" s="9" t="s">
        <v>12</v>
      </c>
      <c r="K161" s="9" t="s">
        <v>13</v>
      </c>
    </row>
    <row r="164" spans="1:12" s="8" customFormat="1" x14ac:dyDescent="0.2">
      <c r="A164" s="8" t="s">
        <v>27</v>
      </c>
      <c r="B164" s="8">
        <f>SUM(B166:B175)</f>
        <v>19096</v>
      </c>
      <c r="C164" s="8">
        <f>SUM(C166:C175)</f>
        <v>117316</v>
      </c>
      <c r="D164" s="8">
        <f>SUM(D166:D175)</f>
        <v>2520128389</v>
      </c>
      <c r="E164" s="15">
        <v>7206</v>
      </c>
      <c r="G164" s="13" t="s">
        <v>27</v>
      </c>
      <c r="H164" s="13">
        <f>SUM(H166:H174)</f>
        <v>1066</v>
      </c>
      <c r="I164" s="13">
        <f>SUM(I166:I174)</f>
        <v>20627</v>
      </c>
      <c r="J164" s="27">
        <f>SUM(J166:J174)</f>
        <v>519772155</v>
      </c>
      <c r="K164" s="27">
        <v>8430</v>
      </c>
    </row>
    <row r="165" spans="1:12" x14ac:dyDescent="0.2">
      <c r="A165" s="4" t="s">
        <v>28</v>
      </c>
      <c r="G165" s="12" t="s">
        <v>28</v>
      </c>
      <c r="H165" s="12"/>
      <c r="I165" s="12"/>
      <c r="J165" s="12"/>
      <c r="K165" s="12"/>
    </row>
    <row r="166" spans="1:12" x14ac:dyDescent="0.2">
      <c r="A166" s="12" t="s">
        <v>15</v>
      </c>
      <c r="B166" s="12">
        <v>3533</v>
      </c>
      <c r="C166" s="12">
        <v>0</v>
      </c>
      <c r="D166" s="12">
        <v>30337285</v>
      </c>
      <c r="E166" s="12">
        <v>8901.6666666666661</v>
      </c>
      <c r="F166" s="12"/>
      <c r="G166" s="12" t="s">
        <v>15</v>
      </c>
      <c r="H166" s="12">
        <v>174</v>
      </c>
      <c r="I166" s="12">
        <v>0</v>
      </c>
      <c r="J166" s="12">
        <v>722891</v>
      </c>
      <c r="K166" s="12">
        <v>6024</v>
      </c>
      <c r="L166" s="12"/>
    </row>
    <row r="167" spans="1:12" x14ac:dyDescent="0.2">
      <c r="A167" s="12" t="s">
        <v>16</v>
      </c>
      <c r="B167" s="12">
        <v>11916</v>
      </c>
      <c r="C167" s="12">
        <v>18407</v>
      </c>
      <c r="D167" s="12">
        <v>359508909</v>
      </c>
      <c r="E167" s="12">
        <v>6723.666666666667</v>
      </c>
      <c r="F167" s="12"/>
      <c r="G167" s="12" t="s">
        <v>16</v>
      </c>
      <c r="H167" s="12">
        <v>555</v>
      </c>
      <c r="I167" s="12">
        <v>886</v>
      </c>
      <c r="J167" s="12">
        <v>27379581</v>
      </c>
      <c r="K167" s="12">
        <v>10608</v>
      </c>
      <c r="L167" s="12"/>
    </row>
    <row r="168" spans="1:12" x14ac:dyDescent="0.2">
      <c r="A168" s="12" t="s">
        <v>17</v>
      </c>
      <c r="B168" s="12">
        <v>1637</v>
      </c>
      <c r="C168" s="12">
        <v>10755</v>
      </c>
      <c r="D168" s="12">
        <v>182100247</v>
      </c>
      <c r="E168" s="12">
        <v>5780</v>
      </c>
      <c r="F168" s="12"/>
      <c r="G168" s="12" t="s">
        <v>17</v>
      </c>
      <c r="H168" s="12">
        <v>106</v>
      </c>
      <c r="I168" s="12">
        <v>686</v>
      </c>
      <c r="J168" s="12">
        <v>16128382</v>
      </c>
      <c r="K168" s="12">
        <v>7875</v>
      </c>
      <c r="L168" s="12"/>
    </row>
    <row r="169" spans="1:12" x14ac:dyDescent="0.2">
      <c r="A169" s="30" t="s">
        <v>56</v>
      </c>
      <c r="B169" s="12">
        <v>1015</v>
      </c>
      <c r="C169" s="12">
        <v>13851</v>
      </c>
      <c r="D169" s="12">
        <v>260660846</v>
      </c>
      <c r="E169" s="12">
        <v>6359.666666666667</v>
      </c>
      <c r="F169" s="12"/>
      <c r="G169" s="30" t="s">
        <v>56</v>
      </c>
      <c r="H169" s="12">
        <v>92</v>
      </c>
      <c r="I169" s="12">
        <v>1310</v>
      </c>
      <c r="J169" s="12">
        <v>29295240</v>
      </c>
      <c r="K169" s="12">
        <v>7675</v>
      </c>
      <c r="L169" s="12"/>
    </row>
    <row r="170" spans="1:12" x14ac:dyDescent="0.2">
      <c r="A170" s="12" t="s">
        <v>18</v>
      </c>
      <c r="B170" s="12">
        <v>641</v>
      </c>
      <c r="C170" s="12">
        <v>19329</v>
      </c>
      <c r="D170" s="12">
        <v>376265437</v>
      </c>
      <c r="E170" s="12">
        <v>6576.666666666667</v>
      </c>
      <c r="F170" s="12"/>
      <c r="G170" s="12" t="s">
        <v>18</v>
      </c>
      <c r="H170" s="12">
        <v>70</v>
      </c>
      <c r="I170" s="12">
        <v>2305</v>
      </c>
      <c r="J170" s="12">
        <v>67020795</v>
      </c>
      <c r="K170" s="12">
        <v>9801.3333333333339</v>
      </c>
      <c r="L170" s="12"/>
    </row>
    <row r="171" spans="1:12" x14ac:dyDescent="0.2">
      <c r="A171" s="12" t="s">
        <v>19</v>
      </c>
      <c r="B171" s="12">
        <v>203</v>
      </c>
      <c r="C171" s="12">
        <v>13819</v>
      </c>
      <c r="D171" s="12">
        <v>313807710</v>
      </c>
      <c r="E171" s="12">
        <v>7662.333333333333</v>
      </c>
      <c r="F171" s="12"/>
      <c r="G171" s="12" t="s">
        <v>19</v>
      </c>
      <c r="H171" s="12">
        <v>27</v>
      </c>
      <c r="I171" s="12">
        <v>1802</v>
      </c>
      <c r="J171" s="12">
        <v>40565056</v>
      </c>
      <c r="K171" s="12">
        <v>7635</v>
      </c>
      <c r="L171" s="12"/>
    </row>
    <row r="172" spans="1:12" x14ac:dyDescent="0.2">
      <c r="A172" s="12" t="s">
        <v>20</v>
      </c>
      <c r="B172" s="12">
        <v>106</v>
      </c>
      <c r="C172" s="12">
        <v>15796</v>
      </c>
      <c r="D172" s="12">
        <v>392949427</v>
      </c>
      <c r="E172" s="12">
        <v>8361.3333333333339</v>
      </c>
      <c r="F172" s="12"/>
      <c r="G172" s="12" t="s">
        <v>20</v>
      </c>
      <c r="H172" s="12">
        <v>25</v>
      </c>
      <c r="I172" s="12">
        <v>3707</v>
      </c>
      <c r="J172" s="12">
        <v>105116060</v>
      </c>
      <c r="K172" s="12">
        <v>9512</v>
      </c>
      <c r="L172" s="12"/>
    </row>
    <row r="173" spans="1:12" x14ac:dyDescent="0.2">
      <c r="A173" s="12" t="s">
        <v>21</v>
      </c>
      <c r="B173" s="29">
        <v>26</v>
      </c>
      <c r="C173" s="12">
        <v>8518</v>
      </c>
      <c r="D173" s="12">
        <v>217593349</v>
      </c>
      <c r="E173" s="12">
        <v>8773.3333333333339</v>
      </c>
      <c r="F173" s="12"/>
      <c r="G173" s="12" t="s">
        <v>21</v>
      </c>
      <c r="H173" s="12">
        <v>12</v>
      </c>
      <c r="I173" s="12">
        <v>4172</v>
      </c>
      <c r="J173" s="12">
        <v>99810908</v>
      </c>
      <c r="K173" s="12">
        <v>7954.333333333333</v>
      </c>
      <c r="L173" s="12"/>
    </row>
    <row r="174" spans="1:12" x14ac:dyDescent="0.2">
      <c r="A174" s="12" t="s">
        <v>23</v>
      </c>
      <c r="B174" s="12">
        <v>14</v>
      </c>
      <c r="C174" s="12">
        <v>9335</v>
      </c>
      <c r="D174" s="12">
        <v>173569757</v>
      </c>
      <c r="E174" s="12">
        <v>6194.333333333333</v>
      </c>
      <c r="F174" s="12"/>
      <c r="G174" s="12" t="s">
        <v>23</v>
      </c>
      <c r="H174" s="12">
        <f>2+3</f>
        <v>5</v>
      </c>
      <c r="I174" s="12">
        <f>1654+4105</f>
        <v>5759</v>
      </c>
      <c r="J174" s="12">
        <f>69502704+64230538</f>
        <v>133733242</v>
      </c>
      <c r="K174" s="29">
        <f>(64230538+69502704)/(1685+4124+1668+4103+1654+4105)</f>
        <v>7712.857834938578</v>
      </c>
      <c r="L174" s="12"/>
    </row>
    <row r="175" spans="1:12" x14ac:dyDescent="0.2">
      <c r="A175" s="12" t="s">
        <v>24</v>
      </c>
      <c r="B175" s="4">
        <v>5</v>
      </c>
      <c r="C175" s="4">
        <v>7506</v>
      </c>
      <c r="D175" s="4">
        <v>213335422</v>
      </c>
      <c r="E175" s="12">
        <v>9545.3333333333339</v>
      </c>
      <c r="I175" s="5" t="s">
        <v>28</v>
      </c>
      <c r="J175" s="5" t="s">
        <v>28</v>
      </c>
    </row>
    <row r="178" spans="1:12" x14ac:dyDescent="0.2">
      <c r="A178" s="39" t="s">
        <v>41</v>
      </c>
      <c r="B178" s="39"/>
      <c r="C178" s="39"/>
      <c r="D178" s="39"/>
      <c r="E178" s="39"/>
      <c r="F178" s="7"/>
      <c r="G178" s="34" t="s">
        <v>59</v>
      </c>
      <c r="H178" s="34"/>
      <c r="I178" s="34"/>
      <c r="J178" s="34"/>
      <c r="K178" s="34"/>
    </row>
    <row r="179" spans="1:12" x14ac:dyDescent="0.2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</row>
    <row r="180" spans="1:12" x14ac:dyDescent="0.2">
      <c r="A180" s="9"/>
      <c r="B180" s="9"/>
      <c r="C180" s="9"/>
      <c r="D180" s="9" t="s">
        <v>2</v>
      </c>
      <c r="E180" s="9" t="s">
        <v>3</v>
      </c>
      <c r="F180" s="7"/>
      <c r="G180" s="9"/>
      <c r="H180" s="9"/>
      <c r="I180" s="9"/>
      <c r="J180" s="9" t="s">
        <v>2</v>
      </c>
      <c r="K180" s="9" t="s">
        <v>3</v>
      </c>
    </row>
    <row r="181" spans="1:12" x14ac:dyDescent="0.2">
      <c r="A181" s="23" t="s">
        <v>4</v>
      </c>
      <c r="B181" s="9" t="s">
        <v>5</v>
      </c>
      <c r="C181" s="9" t="s">
        <v>6</v>
      </c>
      <c r="D181" s="9" t="s">
        <v>7</v>
      </c>
      <c r="E181" s="9" t="s">
        <v>8</v>
      </c>
      <c r="F181" s="7"/>
      <c r="G181" s="23" t="s">
        <v>4</v>
      </c>
      <c r="H181" s="9" t="s">
        <v>5</v>
      </c>
      <c r="I181" s="9" t="s">
        <v>6</v>
      </c>
      <c r="J181" s="9" t="s">
        <v>7</v>
      </c>
      <c r="K181" s="9" t="s">
        <v>8</v>
      </c>
    </row>
    <row r="182" spans="1:12" x14ac:dyDescent="0.2">
      <c r="A182" s="23" t="s">
        <v>9</v>
      </c>
      <c r="B182" s="9" t="s">
        <v>10</v>
      </c>
      <c r="C182" s="9" t="s">
        <v>11</v>
      </c>
      <c r="D182" s="9" t="s">
        <v>12</v>
      </c>
      <c r="E182" s="9" t="s">
        <v>13</v>
      </c>
      <c r="F182" s="7"/>
      <c r="G182" s="23" t="s">
        <v>9</v>
      </c>
      <c r="H182" s="9" t="s">
        <v>10</v>
      </c>
      <c r="I182" s="9" t="s">
        <v>11</v>
      </c>
      <c r="J182" s="9" t="s">
        <v>12</v>
      </c>
      <c r="K182" s="9" t="s">
        <v>13</v>
      </c>
    </row>
    <row r="185" spans="1:12" s="8" customFormat="1" x14ac:dyDescent="0.2">
      <c r="A185" s="13" t="s">
        <v>27</v>
      </c>
      <c r="B185" s="13">
        <f>SUM(B187:B196)</f>
        <v>7036</v>
      </c>
      <c r="C185" s="13">
        <f>SUM(C187:C196)</f>
        <v>91395</v>
      </c>
      <c r="D185" s="27">
        <f>SUM(D187:D196)</f>
        <v>952011034</v>
      </c>
      <c r="E185" s="27">
        <v>3458</v>
      </c>
      <c r="F185" s="13"/>
      <c r="G185" s="13" t="s">
        <v>27</v>
      </c>
      <c r="H185" s="13">
        <f>SUM(H187:H196)</f>
        <v>1935</v>
      </c>
      <c r="I185" s="13">
        <f>SUM(I187:I196)</f>
        <v>52401</v>
      </c>
      <c r="J185" s="27">
        <f>SUM(J187:J196)</f>
        <v>495018791</v>
      </c>
      <c r="K185" s="27">
        <v>3171</v>
      </c>
      <c r="L185" s="13"/>
    </row>
    <row r="186" spans="1:12" x14ac:dyDescent="0.2">
      <c r="A186" s="12" t="s">
        <v>28</v>
      </c>
      <c r="B186" s="12"/>
      <c r="C186" s="12"/>
      <c r="D186" s="12"/>
      <c r="E186" s="12"/>
      <c r="F186" s="12"/>
      <c r="G186" s="12" t="s">
        <v>28</v>
      </c>
      <c r="H186" s="12"/>
      <c r="I186" s="12"/>
      <c r="J186" s="12"/>
      <c r="K186" s="12"/>
      <c r="L186" s="12"/>
    </row>
    <row r="187" spans="1:12" x14ac:dyDescent="0.2">
      <c r="A187" s="12" t="s">
        <v>15</v>
      </c>
      <c r="B187" s="12">
        <v>1452</v>
      </c>
      <c r="C187" s="12">
        <v>0</v>
      </c>
      <c r="D187" s="12">
        <v>5317328</v>
      </c>
      <c r="E187" s="12">
        <v>3814.3333333333335</v>
      </c>
      <c r="F187" s="12"/>
      <c r="G187" s="12" t="s">
        <v>15</v>
      </c>
      <c r="H187" s="12">
        <v>294</v>
      </c>
      <c r="I187" s="12">
        <v>0</v>
      </c>
      <c r="J187" s="12">
        <v>1100169</v>
      </c>
      <c r="K187" s="12">
        <v>2764.3333333333335</v>
      </c>
      <c r="L187" s="12"/>
    </row>
    <row r="188" spans="1:12" x14ac:dyDescent="0.2">
      <c r="A188" s="12" t="s">
        <v>16</v>
      </c>
      <c r="B188" s="12">
        <v>3365</v>
      </c>
      <c r="C188" s="12">
        <v>6048</v>
      </c>
      <c r="D188" s="12">
        <v>84367627</v>
      </c>
      <c r="E188" s="12">
        <v>4844.666666666667</v>
      </c>
      <c r="F188" s="12"/>
      <c r="G188" s="12" t="s">
        <v>16</v>
      </c>
      <c r="H188" s="12">
        <v>878</v>
      </c>
      <c r="I188" s="12">
        <v>1529</v>
      </c>
      <c r="J188" s="12">
        <v>16994464</v>
      </c>
      <c r="K188" s="12">
        <v>3824</v>
      </c>
      <c r="L188" s="12"/>
    </row>
    <row r="189" spans="1:12" x14ac:dyDescent="0.2">
      <c r="A189" s="12" t="s">
        <v>17</v>
      </c>
      <c r="B189" s="12">
        <v>933</v>
      </c>
      <c r="C189" s="12">
        <v>6107</v>
      </c>
      <c r="D189" s="12">
        <v>60734605</v>
      </c>
      <c r="E189" s="12">
        <v>3421.3333333333335</v>
      </c>
      <c r="F189" s="12"/>
      <c r="G189" s="12" t="s">
        <v>17</v>
      </c>
      <c r="H189" s="12">
        <v>211</v>
      </c>
      <c r="I189" s="12">
        <v>1415</v>
      </c>
      <c r="J189" s="12">
        <v>9737152</v>
      </c>
      <c r="K189" s="12">
        <v>2334.3333333333335</v>
      </c>
      <c r="L189" s="12"/>
    </row>
    <row r="190" spans="1:12" x14ac:dyDescent="0.2">
      <c r="A190" s="30" t="s">
        <v>56</v>
      </c>
      <c r="B190" s="12">
        <v>570</v>
      </c>
      <c r="C190" s="12">
        <v>7726</v>
      </c>
      <c r="D190" s="12">
        <v>79968489</v>
      </c>
      <c r="E190" s="12">
        <v>3571.6666666666665</v>
      </c>
      <c r="F190" s="12"/>
      <c r="G190" s="30" t="s">
        <v>56</v>
      </c>
      <c r="H190" s="12">
        <v>215</v>
      </c>
      <c r="I190" s="12">
        <v>2959</v>
      </c>
      <c r="J190" s="12">
        <v>17709281</v>
      </c>
      <c r="K190" s="12">
        <v>2083</v>
      </c>
      <c r="L190" s="12"/>
    </row>
    <row r="191" spans="1:12" x14ac:dyDescent="0.2">
      <c r="A191" s="12" t="s">
        <v>18</v>
      </c>
      <c r="B191" s="12">
        <v>384</v>
      </c>
      <c r="C191" s="12">
        <v>11599</v>
      </c>
      <c r="D191" s="12">
        <v>128309674</v>
      </c>
      <c r="E191" s="12">
        <v>3755.6666666666665</v>
      </c>
      <c r="F191" s="12"/>
      <c r="G191" s="12" t="s">
        <v>18</v>
      </c>
      <c r="H191" s="12">
        <v>176</v>
      </c>
      <c r="I191" s="12">
        <v>5604</v>
      </c>
      <c r="J191" s="12">
        <v>47782846</v>
      </c>
      <c r="K191" s="12">
        <v>2869</v>
      </c>
      <c r="L191" s="12"/>
    </row>
    <row r="192" spans="1:12" x14ac:dyDescent="0.2">
      <c r="A192" s="12" t="s">
        <v>19</v>
      </c>
      <c r="B192" s="12">
        <v>151</v>
      </c>
      <c r="C192" s="12">
        <v>10536</v>
      </c>
      <c r="D192" s="12">
        <v>115975142</v>
      </c>
      <c r="E192" s="12">
        <v>3682.6666666666665</v>
      </c>
      <c r="F192" s="12"/>
      <c r="G192" s="12" t="s">
        <v>19</v>
      </c>
      <c r="H192" s="12">
        <v>99</v>
      </c>
      <c r="I192" s="12">
        <v>7039</v>
      </c>
      <c r="J192" s="12">
        <v>59327206</v>
      </c>
      <c r="K192" s="12">
        <v>2824.6666666666665</v>
      </c>
      <c r="L192" s="12"/>
    </row>
    <row r="193" spans="1:12" x14ac:dyDescent="0.2">
      <c r="A193" s="12" t="s">
        <v>20</v>
      </c>
      <c r="B193" s="12">
        <v>116</v>
      </c>
      <c r="C193" s="12">
        <v>17668</v>
      </c>
      <c r="D193" s="12">
        <v>178858646</v>
      </c>
      <c r="E193" s="12">
        <v>3369</v>
      </c>
      <c r="F193" s="12"/>
      <c r="G193" s="12" t="s">
        <v>20</v>
      </c>
      <c r="H193" s="12">
        <v>49</v>
      </c>
      <c r="I193" s="12">
        <v>7014</v>
      </c>
      <c r="J193" s="12">
        <v>78734487</v>
      </c>
      <c r="K193" s="12">
        <v>3768.3333333333335</v>
      </c>
      <c r="L193" s="12"/>
    </row>
    <row r="194" spans="1:12" x14ac:dyDescent="0.2">
      <c r="A194" s="12" t="s">
        <v>21</v>
      </c>
      <c r="B194" s="12">
        <v>44</v>
      </c>
      <c r="C194" s="12">
        <v>14839</v>
      </c>
      <c r="D194" s="12">
        <v>131578056</v>
      </c>
      <c r="E194" s="12">
        <v>2900.6666666666665</v>
      </c>
      <c r="F194" s="12"/>
      <c r="G194" s="12" t="s">
        <v>58</v>
      </c>
      <c r="H194" s="12">
        <v>7</v>
      </c>
      <c r="I194" s="12">
        <v>2393</v>
      </c>
      <c r="J194" s="12">
        <v>24210878</v>
      </c>
      <c r="K194" s="12">
        <v>3425.3333333333335</v>
      </c>
      <c r="L194" s="12"/>
    </row>
    <row r="195" spans="1:12" x14ac:dyDescent="0.2">
      <c r="A195" s="12" t="s">
        <v>23</v>
      </c>
      <c r="B195" s="12">
        <v>18</v>
      </c>
      <c r="C195" s="12">
        <v>12246</v>
      </c>
      <c r="D195" s="12">
        <v>129607897</v>
      </c>
      <c r="E195" s="12">
        <v>3412</v>
      </c>
      <c r="F195" s="12"/>
      <c r="G195" s="12" t="s">
        <v>23</v>
      </c>
      <c r="H195" s="12">
        <v>3</v>
      </c>
      <c r="I195" s="12">
        <v>2201</v>
      </c>
      <c r="J195" s="12">
        <v>72163526</v>
      </c>
      <c r="K195" s="29">
        <v>11005.666666666666</v>
      </c>
      <c r="L195" s="12"/>
    </row>
    <row r="196" spans="1:12" x14ac:dyDescent="0.2">
      <c r="A196" s="12" t="s">
        <v>24</v>
      </c>
      <c r="B196" s="12">
        <v>3</v>
      </c>
      <c r="C196" s="12">
        <v>4626</v>
      </c>
      <c r="D196" s="12">
        <v>37293570</v>
      </c>
      <c r="E196" s="12">
        <v>2617.6666666666665</v>
      </c>
      <c r="F196" s="12"/>
      <c r="G196" s="12" t="s">
        <v>24</v>
      </c>
      <c r="H196" s="12">
        <v>3</v>
      </c>
      <c r="I196" s="12">
        <v>22247</v>
      </c>
      <c r="J196" s="12">
        <v>167258782</v>
      </c>
      <c r="K196" s="29">
        <v>2520</v>
      </c>
      <c r="L196" s="12"/>
    </row>
    <row r="198" spans="1:12" x14ac:dyDescent="0.2">
      <c r="A198" s="25" t="s">
        <v>64</v>
      </c>
      <c r="B198" s="26"/>
      <c r="C198" s="26"/>
      <c r="D198" s="26"/>
      <c r="E198" s="26"/>
      <c r="F198" s="26"/>
      <c r="G198" s="26"/>
      <c r="H198" s="26"/>
      <c r="I198" s="26"/>
    </row>
    <row r="202" spans="1:12" x14ac:dyDescent="0.2">
      <c r="D202" s="25"/>
      <c r="E202" s="26"/>
      <c r="F202" s="26"/>
      <c r="G202" s="26"/>
      <c r="H202" s="26"/>
    </row>
    <row r="203" spans="1:12" x14ac:dyDescent="0.2">
      <c r="A203" s="35" t="s">
        <v>60</v>
      </c>
      <c r="B203" s="43"/>
      <c r="C203" s="43"/>
      <c r="D203" s="43"/>
      <c r="E203" s="43"/>
      <c r="F203" s="43"/>
      <c r="G203" s="43"/>
      <c r="H203" s="43"/>
      <c r="I203" s="43"/>
      <c r="J203" s="43"/>
      <c r="K203" s="43"/>
    </row>
    <row r="204" spans="1:12" x14ac:dyDescent="0.2">
      <c r="A204" s="35" t="s">
        <v>66</v>
      </c>
      <c r="B204" s="36"/>
      <c r="C204" s="36"/>
      <c r="D204" s="36"/>
      <c r="E204" s="36"/>
      <c r="F204" s="36"/>
      <c r="G204" s="36"/>
      <c r="H204" s="36"/>
      <c r="I204" s="36"/>
      <c r="J204" s="36"/>
      <c r="K204" s="36"/>
    </row>
    <row r="205" spans="1:12" x14ac:dyDescent="0.2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</row>
    <row r="206" spans="1:12" x14ac:dyDescent="0.2">
      <c r="A206" s="34" t="s">
        <v>42</v>
      </c>
      <c r="B206" s="34"/>
      <c r="C206" s="34"/>
      <c r="D206" s="34"/>
      <c r="E206" s="34"/>
      <c r="F206" s="7"/>
      <c r="G206" s="34" t="s">
        <v>43</v>
      </c>
      <c r="H206" s="34"/>
      <c r="I206" s="34"/>
      <c r="J206" s="34"/>
      <c r="K206" s="34"/>
    </row>
    <row r="207" spans="1:12" x14ac:dyDescent="0.2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</row>
    <row r="208" spans="1:12" x14ac:dyDescent="0.2">
      <c r="A208" s="9"/>
      <c r="B208" s="9"/>
      <c r="C208" s="9"/>
      <c r="D208" s="9" t="s">
        <v>2</v>
      </c>
      <c r="E208" s="9" t="s">
        <v>3</v>
      </c>
      <c r="F208" s="7"/>
      <c r="G208" s="9"/>
      <c r="H208" s="9"/>
      <c r="I208" s="9"/>
      <c r="J208" s="9" t="s">
        <v>2</v>
      </c>
      <c r="K208" s="9" t="s">
        <v>3</v>
      </c>
    </row>
    <row r="209" spans="1:24" x14ac:dyDescent="0.2">
      <c r="A209" s="23" t="s">
        <v>4</v>
      </c>
      <c r="B209" s="9" t="s">
        <v>5</v>
      </c>
      <c r="C209" s="9" t="s">
        <v>6</v>
      </c>
      <c r="D209" s="9" t="s">
        <v>7</v>
      </c>
      <c r="E209" s="9" t="s">
        <v>8</v>
      </c>
      <c r="F209" s="7"/>
      <c r="G209" s="23" t="s">
        <v>4</v>
      </c>
      <c r="H209" s="9" t="s">
        <v>5</v>
      </c>
      <c r="I209" s="9" t="s">
        <v>6</v>
      </c>
      <c r="J209" s="9" t="s">
        <v>7</v>
      </c>
      <c r="K209" s="9" t="s">
        <v>8</v>
      </c>
    </row>
    <row r="210" spans="1:24" x14ac:dyDescent="0.2">
      <c r="A210" s="23" t="s">
        <v>9</v>
      </c>
      <c r="B210" s="9" t="s">
        <v>10</v>
      </c>
      <c r="C210" s="9" t="s">
        <v>11</v>
      </c>
      <c r="D210" s="9" t="s">
        <v>12</v>
      </c>
      <c r="E210" s="9" t="s">
        <v>13</v>
      </c>
      <c r="F210" s="7"/>
      <c r="G210" s="23" t="s">
        <v>9</v>
      </c>
      <c r="H210" s="9" t="s">
        <v>10</v>
      </c>
      <c r="I210" s="9" t="s">
        <v>11</v>
      </c>
      <c r="J210" s="9" t="s">
        <v>12</v>
      </c>
      <c r="K210" s="9" t="s">
        <v>13</v>
      </c>
    </row>
    <row r="212" spans="1:24" x14ac:dyDescent="0.2">
      <c r="O212" s="5" t="s">
        <v>28</v>
      </c>
    </row>
    <row r="213" spans="1:24" s="8" customFormat="1" x14ac:dyDescent="0.2">
      <c r="A213" s="13" t="s">
        <v>27</v>
      </c>
      <c r="B213" s="13">
        <f>SUM(B215:B224)</f>
        <v>12032</v>
      </c>
      <c r="C213" s="13">
        <f>SUM(C215:C224)</f>
        <v>166383</v>
      </c>
      <c r="D213" s="27">
        <f>SUM(D215:D224)</f>
        <v>1789641883</v>
      </c>
      <c r="E213" s="27">
        <v>3583</v>
      </c>
      <c r="F213" s="13"/>
      <c r="G213" s="13" t="s">
        <v>27</v>
      </c>
      <c r="H213" s="13">
        <f>SUM(H215:H223)</f>
        <v>1529</v>
      </c>
      <c r="I213" s="13">
        <f>SUM(I215:I223)</f>
        <v>24295</v>
      </c>
      <c r="J213" s="27">
        <f>SUM(J215:J223)</f>
        <v>168100906</v>
      </c>
      <c r="K213" s="27">
        <v>2411</v>
      </c>
      <c r="L213" s="13"/>
    </row>
    <row r="214" spans="1:24" x14ac:dyDescent="0.2">
      <c r="A214" s="12" t="s">
        <v>28</v>
      </c>
      <c r="B214" s="12"/>
      <c r="C214" s="12"/>
      <c r="D214" s="12"/>
      <c r="E214" s="12"/>
      <c r="F214" s="12"/>
      <c r="G214" s="12" t="s">
        <v>28</v>
      </c>
      <c r="H214" s="12"/>
      <c r="I214" s="12"/>
      <c r="J214" s="12"/>
      <c r="K214" s="12"/>
      <c r="L214" s="12"/>
    </row>
    <row r="215" spans="1:24" x14ac:dyDescent="0.2">
      <c r="A215" s="12" t="s">
        <v>15</v>
      </c>
      <c r="B215" s="12">
        <v>1441</v>
      </c>
      <c r="C215" s="12">
        <v>0</v>
      </c>
      <c r="D215" s="12">
        <v>5563521</v>
      </c>
      <c r="E215" s="12">
        <v>4628.666666666667</v>
      </c>
      <c r="F215" s="12"/>
      <c r="G215" s="12" t="s">
        <v>15</v>
      </c>
      <c r="H215" s="12">
        <v>284</v>
      </c>
      <c r="I215" s="12">
        <v>0</v>
      </c>
      <c r="J215" s="12">
        <v>1012164</v>
      </c>
      <c r="K215" s="12">
        <v>2739.6666666666665</v>
      </c>
      <c r="L215" s="12"/>
    </row>
    <row r="216" spans="1:24" x14ac:dyDescent="0.2">
      <c r="A216" s="12" t="s">
        <v>16</v>
      </c>
      <c r="B216" s="12">
        <v>5968</v>
      </c>
      <c r="C216" s="12">
        <v>10206</v>
      </c>
      <c r="D216" s="12">
        <v>114272907</v>
      </c>
      <c r="E216" s="12">
        <v>3760</v>
      </c>
      <c r="F216" s="12"/>
      <c r="G216" s="12" t="s">
        <v>16</v>
      </c>
      <c r="H216" s="12">
        <v>637</v>
      </c>
      <c r="I216" s="12">
        <v>1093</v>
      </c>
      <c r="J216" s="12">
        <v>8520412</v>
      </c>
      <c r="K216" s="12">
        <v>1952</v>
      </c>
      <c r="L216" s="12"/>
    </row>
    <row r="217" spans="1:24" x14ac:dyDescent="0.2">
      <c r="A217" s="12" t="s">
        <v>17</v>
      </c>
      <c r="B217" s="12">
        <v>1630</v>
      </c>
      <c r="C217" s="12">
        <v>10997</v>
      </c>
      <c r="D217" s="12">
        <v>97639074</v>
      </c>
      <c r="E217" s="12">
        <v>2984</v>
      </c>
      <c r="F217" s="12"/>
      <c r="G217" s="12" t="s">
        <v>17</v>
      </c>
      <c r="H217" s="12">
        <v>200</v>
      </c>
      <c r="I217" s="12">
        <v>1345</v>
      </c>
      <c r="J217" s="12">
        <v>7485648</v>
      </c>
      <c r="K217" s="12">
        <v>1423</v>
      </c>
      <c r="L217" s="12"/>
    </row>
    <row r="218" spans="1:24" x14ac:dyDescent="0.2">
      <c r="A218" s="30" t="s">
        <v>56</v>
      </c>
      <c r="B218" s="12">
        <v>1506</v>
      </c>
      <c r="C218" s="12">
        <v>20310</v>
      </c>
      <c r="D218" s="12">
        <v>182035402</v>
      </c>
      <c r="E218" s="12">
        <v>3008.6666666666665</v>
      </c>
      <c r="F218" s="12"/>
      <c r="G218" s="30" t="s">
        <v>56</v>
      </c>
      <c r="H218" s="12">
        <v>192</v>
      </c>
      <c r="I218" s="12">
        <v>2574</v>
      </c>
      <c r="J218" s="12">
        <v>10341639</v>
      </c>
      <c r="K218" s="12">
        <v>1622.3333333333333</v>
      </c>
      <c r="L218" s="12"/>
    </row>
    <row r="219" spans="1:24" x14ac:dyDescent="0.2">
      <c r="A219" s="12" t="s">
        <v>18</v>
      </c>
      <c r="B219" s="12">
        <v>924</v>
      </c>
      <c r="C219" s="12">
        <v>27968</v>
      </c>
      <c r="D219" s="12">
        <v>263122030</v>
      </c>
      <c r="E219" s="12">
        <v>3148.6666666666665</v>
      </c>
      <c r="F219" s="12"/>
      <c r="G219" s="12" t="s">
        <v>18</v>
      </c>
      <c r="H219" s="12">
        <v>133</v>
      </c>
      <c r="I219" s="12">
        <v>4096</v>
      </c>
      <c r="J219" s="12">
        <v>18941400</v>
      </c>
      <c r="K219" s="12">
        <v>1734.3333333333333</v>
      </c>
      <c r="L219" s="12"/>
    </row>
    <row r="220" spans="1:24" x14ac:dyDescent="0.2">
      <c r="A220" s="12" t="s">
        <v>19</v>
      </c>
      <c r="B220" s="12">
        <v>357</v>
      </c>
      <c r="C220" s="12">
        <v>24836</v>
      </c>
      <c r="D220" s="12">
        <v>251233130</v>
      </c>
      <c r="E220" s="12">
        <v>3384</v>
      </c>
      <c r="F220" s="12"/>
      <c r="G220" s="12" t="s">
        <v>19</v>
      </c>
      <c r="H220" s="12">
        <v>51</v>
      </c>
      <c r="I220" s="12">
        <v>3380</v>
      </c>
      <c r="J220" s="12">
        <v>17121776</v>
      </c>
      <c r="K220" s="12">
        <v>2284</v>
      </c>
      <c r="L220" s="12"/>
    </row>
    <row r="221" spans="1:24" x14ac:dyDescent="0.2">
      <c r="A221" s="12" t="s">
        <v>20</v>
      </c>
      <c r="B221" s="12">
        <v>154</v>
      </c>
      <c r="C221" s="12">
        <v>22631</v>
      </c>
      <c r="D221" s="12">
        <v>237645371</v>
      </c>
      <c r="E221" s="12">
        <v>3507.3333333333335</v>
      </c>
      <c r="F221" s="12"/>
      <c r="G221" s="12" t="s">
        <v>20</v>
      </c>
      <c r="H221" s="12">
        <v>20</v>
      </c>
      <c r="I221" s="12">
        <v>3011</v>
      </c>
      <c r="J221" s="12">
        <v>19982046</v>
      </c>
      <c r="K221" s="12">
        <v>6832.666666666667</v>
      </c>
      <c r="L221" s="12"/>
    </row>
    <row r="222" spans="1:24" x14ac:dyDescent="0.2">
      <c r="A222" s="12" t="s">
        <v>21</v>
      </c>
      <c r="B222" s="12">
        <v>25</v>
      </c>
      <c r="C222" s="12">
        <v>8915</v>
      </c>
      <c r="D222" s="12">
        <v>103617130</v>
      </c>
      <c r="E222" s="12">
        <v>3890.6666666666665</v>
      </c>
      <c r="F222" s="12"/>
      <c r="G222" s="12" t="s">
        <v>21</v>
      </c>
      <c r="H222" s="12">
        <v>6</v>
      </c>
      <c r="I222" s="12">
        <v>2336</v>
      </c>
      <c r="J222" s="12">
        <v>45416647</v>
      </c>
      <c r="K222" s="12">
        <v>1651</v>
      </c>
      <c r="L222" s="12"/>
      <c r="X222" s="4" t="s">
        <v>28</v>
      </c>
    </row>
    <row r="223" spans="1:24" x14ac:dyDescent="0.2">
      <c r="A223" s="12" t="s">
        <v>23</v>
      </c>
      <c r="B223" s="12">
        <v>15</v>
      </c>
      <c r="C223" s="12">
        <v>10667</v>
      </c>
      <c r="D223" s="12">
        <v>127005994</v>
      </c>
      <c r="E223" s="12">
        <v>3954</v>
      </c>
      <c r="F223" s="12"/>
      <c r="G223" s="12" t="s">
        <v>31</v>
      </c>
      <c r="H223" s="12">
        <f>4+2</f>
        <v>6</v>
      </c>
      <c r="I223" s="12">
        <f>2568+3892</f>
        <v>6460</v>
      </c>
      <c r="J223" s="12">
        <f>10519279+28759895</f>
        <v>39279174</v>
      </c>
      <c r="K223" s="29">
        <f>39279174/(3892+2568+4079+1958+1845+3879)</f>
        <v>2155.7090170682181</v>
      </c>
      <c r="L223" s="12"/>
    </row>
    <row r="224" spans="1:24" x14ac:dyDescent="0.2">
      <c r="A224" s="12" t="s">
        <v>24</v>
      </c>
      <c r="B224" s="12">
        <v>12</v>
      </c>
      <c r="C224" s="12">
        <v>29853</v>
      </c>
      <c r="D224" s="12">
        <v>407507324</v>
      </c>
      <c r="E224" s="12">
        <v>4511</v>
      </c>
      <c r="F224" s="12"/>
      <c r="G224" s="12" t="s">
        <v>28</v>
      </c>
      <c r="H224" s="12" t="s">
        <v>28</v>
      </c>
      <c r="I224" s="12" t="s">
        <v>28</v>
      </c>
      <c r="J224" s="12" t="s">
        <v>28</v>
      </c>
      <c r="K224" s="12"/>
      <c r="L224" s="12"/>
    </row>
    <row r="227" spans="1:29" x14ac:dyDescent="0.2">
      <c r="A227" s="34" t="s">
        <v>44</v>
      </c>
      <c r="B227" s="34"/>
      <c r="C227" s="34"/>
      <c r="D227" s="34"/>
      <c r="E227" s="34"/>
      <c r="F227" s="7"/>
      <c r="G227" s="34" t="s">
        <v>45</v>
      </c>
      <c r="H227" s="34"/>
      <c r="I227" s="34"/>
      <c r="J227" s="34"/>
      <c r="K227" s="34"/>
    </row>
    <row r="228" spans="1:29" x14ac:dyDescent="0.2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</row>
    <row r="229" spans="1:29" x14ac:dyDescent="0.2">
      <c r="A229" s="9"/>
      <c r="B229" s="9"/>
      <c r="C229" s="9"/>
      <c r="D229" s="9" t="s">
        <v>2</v>
      </c>
      <c r="E229" s="9" t="s">
        <v>3</v>
      </c>
      <c r="F229" s="7"/>
      <c r="G229" s="9"/>
      <c r="H229" s="9"/>
      <c r="I229" s="9"/>
      <c r="J229" s="9" t="s">
        <v>2</v>
      </c>
      <c r="K229" s="9" t="s">
        <v>3</v>
      </c>
    </row>
    <row r="230" spans="1:29" x14ac:dyDescent="0.2">
      <c r="A230" s="23" t="s">
        <v>4</v>
      </c>
      <c r="B230" s="9" t="s">
        <v>5</v>
      </c>
      <c r="C230" s="9" t="s">
        <v>6</v>
      </c>
      <c r="D230" s="9" t="s">
        <v>7</v>
      </c>
      <c r="E230" s="9" t="s">
        <v>8</v>
      </c>
      <c r="F230" s="7"/>
      <c r="G230" s="23" t="s">
        <v>4</v>
      </c>
      <c r="H230" s="9" t="s">
        <v>5</v>
      </c>
      <c r="I230" s="9" t="s">
        <v>6</v>
      </c>
      <c r="J230" s="9" t="s">
        <v>7</v>
      </c>
      <c r="K230" s="9" t="s">
        <v>8</v>
      </c>
    </row>
    <row r="231" spans="1:29" x14ac:dyDescent="0.2">
      <c r="A231" s="23" t="s">
        <v>9</v>
      </c>
      <c r="B231" s="9" t="s">
        <v>10</v>
      </c>
      <c r="C231" s="9" t="s">
        <v>11</v>
      </c>
      <c r="D231" s="9" t="s">
        <v>12</v>
      </c>
      <c r="E231" s="9" t="s">
        <v>13</v>
      </c>
      <c r="F231" s="7"/>
      <c r="G231" s="23" t="s">
        <v>9</v>
      </c>
      <c r="H231" s="9" t="s">
        <v>10</v>
      </c>
      <c r="I231" s="9" t="s">
        <v>11</v>
      </c>
      <c r="J231" s="9" t="s">
        <v>12</v>
      </c>
      <c r="K231" s="9" t="s">
        <v>13</v>
      </c>
    </row>
    <row r="234" spans="1:29" s="8" customFormat="1" x14ac:dyDescent="0.2">
      <c r="A234" s="13" t="s">
        <v>27</v>
      </c>
      <c r="B234" s="13">
        <f>SUM(B236:B244)</f>
        <v>6296</v>
      </c>
      <c r="C234" s="13">
        <f>SUM(C236:C244)</f>
        <v>117698</v>
      </c>
      <c r="D234" s="13">
        <f>SUM(D236:D244)</f>
        <v>570451620</v>
      </c>
      <c r="E234" s="27">
        <v>1650</v>
      </c>
      <c r="F234" s="13"/>
      <c r="G234" s="13" t="s">
        <v>27</v>
      </c>
      <c r="H234" s="13">
        <f>SUM(H236:H244)</f>
        <v>6182</v>
      </c>
      <c r="I234" s="13">
        <f>SUM(I236:I244)</f>
        <v>41208</v>
      </c>
      <c r="J234" s="13">
        <f>SUM(J236:J244)</f>
        <v>386774301</v>
      </c>
      <c r="K234" s="27">
        <v>3153</v>
      </c>
      <c r="L234" s="13"/>
      <c r="M234" s="13"/>
      <c r="AA234" s="17"/>
    </row>
    <row r="235" spans="1:29" x14ac:dyDescent="0.2">
      <c r="A235" s="12" t="s">
        <v>28</v>
      </c>
      <c r="B235" s="12"/>
      <c r="C235" s="12"/>
      <c r="D235" s="12"/>
      <c r="E235" s="12"/>
      <c r="F235" s="12"/>
      <c r="G235" s="12" t="s">
        <v>28</v>
      </c>
      <c r="H235" s="12"/>
      <c r="I235" s="12"/>
      <c r="J235" s="12"/>
      <c r="K235" s="29"/>
      <c r="L235" s="12"/>
      <c r="M235" s="12"/>
    </row>
    <row r="236" spans="1:29" x14ac:dyDescent="0.2">
      <c r="A236" s="12" t="s">
        <v>15</v>
      </c>
      <c r="B236" s="12">
        <v>430</v>
      </c>
      <c r="C236" s="12">
        <v>0</v>
      </c>
      <c r="D236" s="12">
        <v>2743556</v>
      </c>
      <c r="E236" s="12">
        <v>2151.6666666666665</v>
      </c>
      <c r="F236" s="12"/>
      <c r="G236" s="12" t="s">
        <v>15</v>
      </c>
      <c r="H236" s="4">
        <v>682</v>
      </c>
      <c r="I236" s="12">
        <v>0</v>
      </c>
      <c r="J236" s="12">
        <v>2527401</v>
      </c>
      <c r="K236" s="4">
        <v>3569.7754237288136</v>
      </c>
      <c r="L236" s="12"/>
      <c r="M236" s="12"/>
      <c r="O236" s="14"/>
      <c r="P236" s="14"/>
      <c r="Y236" s="18"/>
      <c r="Z236" s="18"/>
      <c r="AA236" s="18"/>
      <c r="AB236" s="18"/>
      <c r="AC236" s="18"/>
    </row>
    <row r="237" spans="1:29" x14ac:dyDescent="0.2">
      <c r="A237" s="12" t="s">
        <v>16</v>
      </c>
      <c r="B237" s="12">
        <v>1029</v>
      </c>
      <c r="C237" s="12">
        <v>2576</v>
      </c>
      <c r="D237" s="12">
        <v>15462764</v>
      </c>
      <c r="E237" s="12">
        <v>2063.3333333333335</v>
      </c>
      <c r="F237" s="12"/>
      <c r="G237" s="12" t="s">
        <v>16</v>
      </c>
      <c r="H237" s="4">
        <v>3216</v>
      </c>
      <c r="I237" s="12">
        <v>6151</v>
      </c>
      <c r="J237" s="12">
        <v>56431967</v>
      </c>
      <c r="K237" s="4">
        <v>3109.8846577758181</v>
      </c>
      <c r="L237" s="12"/>
      <c r="M237" s="12"/>
      <c r="O237" s="14"/>
      <c r="P237" s="14"/>
      <c r="Y237" s="18"/>
      <c r="Z237" s="18"/>
      <c r="AA237" s="18"/>
      <c r="AB237" s="18"/>
      <c r="AC237" s="18"/>
    </row>
    <row r="238" spans="1:29" x14ac:dyDescent="0.2">
      <c r="A238" s="12" t="s">
        <v>17</v>
      </c>
      <c r="B238" s="12">
        <v>1018</v>
      </c>
      <c r="C238" s="12">
        <v>6979</v>
      </c>
      <c r="D238" s="12">
        <v>32286986</v>
      </c>
      <c r="E238" s="12">
        <v>1600.6666666666667</v>
      </c>
      <c r="F238" s="12"/>
      <c r="G238" s="12" t="s">
        <v>17</v>
      </c>
      <c r="H238" s="4">
        <v>1262</v>
      </c>
      <c r="I238" s="12">
        <v>8268</v>
      </c>
      <c r="J238" s="12">
        <v>71748200</v>
      </c>
      <c r="K238" s="4">
        <v>2929.0957338232292</v>
      </c>
      <c r="L238" s="12"/>
      <c r="M238" s="12"/>
      <c r="O238" s="14"/>
      <c r="P238" s="14"/>
      <c r="Y238" s="18"/>
      <c r="Z238" s="18"/>
      <c r="AA238" s="18"/>
      <c r="AB238" s="18"/>
      <c r="AC238" s="18"/>
    </row>
    <row r="239" spans="1:29" x14ac:dyDescent="0.2">
      <c r="A239" s="30" t="s">
        <v>56</v>
      </c>
      <c r="B239" s="12">
        <v>1592</v>
      </c>
      <c r="C239" s="12">
        <v>22532</v>
      </c>
      <c r="D239" s="12">
        <v>97883814</v>
      </c>
      <c r="E239" s="12">
        <v>1491.6666666666667</v>
      </c>
      <c r="F239" s="12"/>
      <c r="G239" s="30" t="s">
        <v>56</v>
      </c>
      <c r="H239" s="4">
        <v>725</v>
      </c>
      <c r="I239" s="12">
        <v>9478</v>
      </c>
      <c r="J239" s="12">
        <v>77942311</v>
      </c>
      <c r="K239" s="4">
        <v>2793.5310920755528</v>
      </c>
      <c r="L239" s="12"/>
      <c r="M239" s="12"/>
      <c r="O239" s="14"/>
      <c r="P239" s="14"/>
      <c r="Y239" s="18"/>
      <c r="Z239" s="18"/>
      <c r="AA239" s="18"/>
      <c r="AB239" s="18"/>
      <c r="AC239" s="18"/>
    </row>
    <row r="240" spans="1:29" x14ac:dyDescent="0.2">
      <c r="A240" s="12" t="s">
        <v>18</v>
      </c>
      <c r="B240" s="12">
        <v>1859</v>
      </c>
      <c r="C240" s="12">
        <v>54411</v>
      </c>
      <c r="D240" s="12">
        <v>240884313</v>
      </c>
      <c r="E240" s="12">
        <v>1512.3333333333333</v>
      </c>
      <c r="F240" s="12"/>
      <c r="G240" s="12" t="s">
        <v>18</v>
      </c>
      <c r="H240" s="4">
        <v>215</v>
      </c>
      <c r="I240" s="12">
        <v>6376</v>
      </c>
      <c r="J240" s="12">
        <v>65651138</v>
      </c>
      <c r="K240" s="4">
        <v>3490.0397639678913</v>
      </c>
      <c r="L240" s="12"/>
      <c r="M240" s="12"/>
      <c r="O240" s="14"/>
      <c r="P240" s="14"/>
      <c r="Y240" s="18"/>
      <c r="Z240" s="18"/>
      <c r="AA240" s="18"/>
      <c r="AB240" s="18"/>
      <c r="AC240" s="18"/>
    </row>
    <row r="241" spans="1:29" x14ac:dyDescent="0.2">
      <c r="A241" s="12" t="s">
        <v>19</v>
      </c>
      <c r="B241" s="12">
        <v>316</v>
      </c>
      <c r="C241" s="12">
        <v>20721</v>
      </c>
      <c r="D241" s="12">
        <v>102771354</v>
      </c>
      <c r="E241" s="12">
        <v>1694.6666666666667</v>
      </c>
      <c r="F241" s="12"/>
      <c r="G241" s="12" t="s">
        <v>19</v>
      </c>
      <c r="H241" s="4">
        <v>49</v>
      </c>
      <c r="I241" s="12">
        <v>3434</v>
      </c>
      <c r="J241" s="12">
        <v>34374064</v>
      </c>
      <c r="K241" s="4">
        <v>3370.3366996764389</v>
      </c>
      <c r="L241" s="12"/>
      <c r="M241" s="12"/>
      <c r="O241" s="14"/>
      <c r="P241" s="14"/>
      <c r="Y241" s="18"/>
      <c r="Z241" s="18"/>
      <c r="AA241" s="18"/>
      <c r="AB241" s="18"/>
      <c r="AC241" s="18"/>
    </row>
    <row r="242" spans="1:29" x14ac:dyDescent="0.2">
      <c r="A242" s="12" t="s">
        <v>20</v>
      </c>
      <c r="B242" s="12">
        <v>41</v>
      </c>
      <c r="C242" s="12">
        <v>5354</v>
      </c>
      <c r="D242" s="12">
        <v>37110498</v>
      </c>
      <c r="E242" s="12">
        <v>2341.6666666666665</v>
      </c>
      <c r="F242" s="12"/>
      <c r="G242" s="12" t="s">
        <v>20</v>
      </c>
      <c r="H242" s="4">
        <v>24</v>
      </c>
      <c r="I242" s="12">
        <v>3385</v>
      </c>
      <c r="J242" s="12">
        <v>34946662</v>
      </c>
      <c r="K242" s="4">
        <v>3464.1814036478986</v>
      </c>
      <c r="L242" s="12"/>
      <c r="M242" s="12"/>
      <c r="O242" s="14"/>
      <c r="P242" s="14"/>
      <c r="Y242" s="18"/>
      <c r="Z242" s="18"/>
      <c r="AA242" s="18"/>
      <c r="AB242" s="18"/>
      <c r="AC242" s="18"/>
    </row>
    <row r="243" spans="1:29" x14ac:dyDescent="0.2">
      <c r="A243" s="12" t="s">
        <v>21</v>
      </c>
      <c r="B243" s="12">
        <v>7</v>
      </c>
      <c r="C243" s="12">
        <v>2145</v>
      </c>
      <c r="D243" s="12">
        <v>18554486</v>
      </c>
      <c r="E243" s="12">
        <v>2920.6666666666665</v>
      </c>
      <c r="F243" s="12"/>
      <c r="G243" s="12" t="s">
        <v>21</v>
      </c>
      <c r="H243" s="4">
        <v>6</v>
      </c>
      <c r="I243" s="12">
        <v>2170</v>
      </c>
      <c r="J243" s="12">
        <v>17235535</v>
      </c>
      <c r="K243" s="4">
        <v>2657.7540478026212</v>
      </c>
      <c r="L243" s="12"/>
      <c r="M243" s="12"/>
      <c r="O243" s="14"/>
      <c r="P243" s="14"/>
      <c r="Y243" s="18"/>
      <c r="Z243" s="18"/>
      <c r="AA243" s="18"/>
      <c r="AB243" s="18"/>
      <c r="AC243" s="18"/>
    </row>
    <row r="244" spans="1:29" x14ac:dyDescent="0.2">
      <c r="A244" s="12" t="s">
        <v>31</v>
      </c>
      <c r="B244" s="12">
        <f>3+1</f>
        <v>4</v>
      </c>
      <c r="C244" s="12">
        <f>1651+1329</f>
        <v>2980</v>
      </c>
      <c r="D244" s="12">
        <f>13929745+8824104</f>
        <v>22753849</v>
      </c>
      <c r="E244" s="29">
        <f>(8824104+13929745)/(1651+1329+1306+1711+1713+1299)</f>
        <v>2525.6797646797645</v>
      </c>
      <c r="F244" s="12"/>
      <c r="G244" s="12" t="s">
        <v>54</v>
      </c>
      <c r="H244" s="4">
        <v>3</v>
      </c>
      <c r="I244" s="12">
        <v>1946</v>
      </c>
      <c r="J244" s="12">
        <v>25917023</v>
      </c>
      <c r="K244" s="4">
        <v>4449.2743347639489</v>
      </c>
      <c r="L244" s="12"/>
      <c r="M244" s="12"/>
      <c r="O244" s="14"/>
      <c r="P244" s="14"/>
      <c r="Y244" s="18"/>
      <c r="Z244" s="18"/>
      <c r="AA244" s="18"/>
      <c r="AB244" s="18"/>
      <c r="AC244" s="18"/>
    </row>
    <row r="245" spans="1:29" x14ac:dyDescent="0.2">
      <c r="O245" s="14"/>
      <c r="P245" s="14"/>
      <c r="Y245" s="18"/>
      <c r="Z245" s="18"/>
      <c r="AA245" s="18"/>
      <c r="AB245" s="18"/>
      <c r="AC245" s="18"/>
    </row>
    <row r="246" spans="1:29" x14ac:dyDescent="0.2">
      <c r="Y246" s="18"/>
      <c r="Z246" s="18"/>
      <c r="AA246" s="18"/>
      <c r="AB246" s="18"/>
      <c r="AC246" s="18"/>
    </row>
    <row r="247" spans="1:29" x14ac:dyDescent="0.2">
      <c r="A247" s="25" t="s">
        <v>64</v>
      </c>
      <c r="B247" s="26"/>
      <c r="C247" s="26"/>
      <c r="D247" s="26"/>
      <c r="E247" s="26"/>
      <c r="F247" s="26"/>
      <c r="G247" s="26"/>
      <c r="H247" s="26"/>
      <c r="I247" s="26"/>
    </row>
    <row r="251" spans="1:29" x14ac:dyDescent="0.2">
      <c r="D251" s="25"/>
      <c r="E251" s="26"/>
      <c r="F251" s="26"/>
      <c r="G251" s="26"/>
      <c r="H251" s="26"/>
    </row>
    <row r="252" spans="1:29" x14ac:dyDescent="0.2">
      <c r="A252" s="35" t="s">
        <v>60</v>
      </c>
      <c r="B252" s="43"/>
      <c r="C252" s="43"/>
      <c r="D252" s="43"/>
      <c r="E252" s="43"/>
      <c r="F252" s="43"/>
      <c r="G252" s="43"/>
      <c r="H252" s="43"/>
      <c r="I252" s="43"/>
      <c r="J252" s="43"/>
      <c r="K252" s="43"/>
    </row>
    <row r="253" spans="1:29" x14ac:dyDescent="0.2">
      <c r="A253" s="35" t="s">
        <v>66</v>
      </c>
      <c r="B253" s="36"/>
      <c r="C253" s="36"/>
      <c r="D253" s="36"/>
      <c r="E253" s="36"/>
      <c r="F253" s="36"/>
      <c r="G253" s="36"/>
      <c r="H253" s="36"/>
      <c r="I253" s="36"/>
      <c r="J253" s="36"/>
      <c r="K253" s="36"/>
    </row>
    <row r="254" spans="1:29" x14ac:dyDescent="0.2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</row>
    <row r="255" spans="1:29" x14ac:dyDescent="0.2">
      <c r="A255" s="34" t="s">
        <v>53</v>
      </c>
      <c r="B255" s="34"/>
      <c r="C255" s="34"/>
      <c r="D255" s="34"/>
      <c r="E255" s="34"/>
      <c r="F255" s="7"/>
      <c r="G255" s="34" t="s">
        <v>46</v>
      </c>
      <c r="H255" s="34"/>
      <c r="I255" s="34"/>
      <c r="J255" s="34"/>
      <c r="K255" s="34"/>
    </row>
    <row r="256" spans="1:29" x14ac:dyDescent="0.2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</row>
    <row r="257" spans="1:11" x14ac:dyDescent="0.2">
      <c r="A257" s="9"/>
      <c r="B257" s="9"/>
      <c r="C257" s="9"/>
      <c r="D257" s="9" t="s">
        <v>2</v>
      </c>
      <c r="E257" s="9" t="s">
        <v>3</v>
      </c>
      <c r="F257" s="7"/>
      <c r="G257" s="9"/>
      <c r="H257" s="9"/>
      <c r="I257" s="9"/>
      <c r="J257" s="9" t="s">
        <v>2</v>
      </c>
      <c r="K257" s="9" t="s">
        <v>3</v>
      </c>
    </row>
    <row r="258" spans="1:11" x14ac:dyDescent="0.2">
      <c r="A258" s="23" t="s">
        <v>4</v>
      </c>
      <c r="B258" s="9" t="s">
        <v>5</v>
      </c>
      <c r="C258" s="9" t="s">
        <v>6</v>
      </c>
      <c r="D258" s="9" t="s">
        <v>7</v>
      </c>
      <c r="E258" s="9" t="s">
        <v>8</v>
      </c>
      <c r="F258" s="7"/>
      <c r="G258" s="23" t="s">
        <v>4</v>
      </c>
      <c r="H258" s="9" t="s">
        <v>5</v>
      </c>
      <c r="I258" s="9" t="s">
        <v>6</v>
      </c>
      <c r="J258" s="9" t="s">
        <v>7</v>
      </c>
      <c r="K258" s="9" t="s">
        <v>8</v>
      </c>
    </row>
    <row r="259" spans="1:11" x14ac:dyDescent="0.2">
      <c r="A259" s="23" t="s">
        <v>9</v>
      </c>
      <c r="B259" s="9" t="s">
        <v>10</v>
      </c>
      <c r="C259" s="9" t="s">
        <v>11</v>
      </c>
      <c r="D259" s="9" t="s">
        <v>12</v>
      </c>
      <c r="E259" s="9" t="s">
        <v>13</v>
      </c>
      <c r="F259" s="7"/>
      <c r="G259" s="23" t="s">
        <v>9</v>
      </c>
      <c r="H259" s="9" t="s">
        <v>10</v>
      </c>
      <c r="I259" s="9" t="s">
        <v>11</v>
      </c>
      <c r="J259" s="9" t="s">
        <v>12</v>
      </c>
      <c r="K259" s="9" t="s">
        <v>13</v>
      </c>
    </row>
    <row r="262" spans="1:11" s="8" customFormat="1" x14ac:dyDescent="0.2">
      <c r="A262" s="8" t="s">
        <v>27</v>
      </c>
      <c r="B262" s="8">
        <f>SUM(B264:B273)</f>
        <v>4277</v>
      </c>
      <c r="C262" s="8">
        <f>SUM(C264:C273)</f>
        <v>253767</v>
      </c>
      <c r="D262" s="15">
        <f>SUM( D264:D273)</f>
        <v>3126131909</v>
      </c>
      <c r="E262" s="19">
        <f>11728/3</f>
        <v>3909.3333333333335</v>
      </c>
      <c r="G262" s="8" t="s">
        <v>27</v>
      </c>
      <c r="H262" s="8">
        <f>SUM(H264:H273)</f>
        <v>574</v>
      </c>
      <c r="I262" s="8">
        <f>SUM(I264:I273)</f>
        <v>38881</v>
      </c>
      <c r="J262" s="15">
        <f>SUM(J264:J273)</f>
        <v>673814110</v>
      </c>
      <c r="K262" s="15">
        <f>17433/3</f>
        <v>5811</v>
      </c>
    </row>
    <row r="263" spans="1:11" x14ac:dyDescent="0.2">
      <c r="A263" s="4" t="s">
        <v>28</v>
      </c>
      <c r="G263" s="4" t="s">
        <v>28</v>
      </c>
    </row>
    <row r="264" spans="1:11" x14ac:dyDescent="0.2">
      <c r="A264" s="4" t="s">
        <v>15</v>
      </c>
      <c r="B264" s="4">
        <f>SUM(H264,H286,H315)</f>
        <v>114</v>
      </c>
      <c r="C264" s="4">
        <f>SUM(I264,I286,I315)</f>
        <v>0</v>
      </c>
      <c r="D264" s="4">
        <f>SUM(J264,J286,J315)</f>
        <v>352741</v>
      </c>
      <c r="E264" s="4">
        <f>7635/3</f>
        <v>2545</v>
      </c>
      <c r="G264" s="4" t="s">
        <v>15</v>
      </c>
      <c r="H264" s="4">
        <v>47</v>
      </c>
      <c r="I264" s="4">
        <v>0</v>
      </c>
      <c r="J264" s="4">
        <v>62475</v>
      </c>
      <c r="K264" s="4">
        <v>4462.666666666667</v>
      </c>
    </row>
    <row r="265" spans="1:11" x14ac:dyDescent="0.2">
      <c r="A265" s="4" t="s">
        <v>16</v>
      </c>
      <c r="B265" s="4">
        <f t="shared" ref="B265:D273" si="5">SUM(H265,H287,H316)</f>
        <v>976</v>
      </c>
      <c r="C265" s="4">
        <f t="shared" si="5"/>
        <v>2093</v>
      </c>
      <c r="D265" s="4">
        <f t="shared" si="5"/>
        <v>24236005</v>
      </c>
      <c r="E265" s="4">
        <f>11151/3</f>
        <v>3717</v>
      </c>
      <c r="G265" s="4" t="s">
        <v>16</v>
      </c>
      <c r="H265" s="4">
        <v>236</v>
      </c>
      <c r="I265" s="4">
        <v>456</v>
      </c>
      <c r="J265" s="4">
        <v>6727956</v>
      </c>
      <c r="K265" s="4">
        <v>4925.333333333333</v>
      </c>
    </row>
    <row r="266" spans="1:11" x14ac:dyDescent="0.2">
      <c r="A266" s="4" t="s">
        <v>17</v>
      </c>
      <c r="B266" s="4">
        <f t="shared" si="5"/>
        <v>728</v>
      </c>
      <c r="C266" s="4">
        <f t="shared" si="5"/>
        <v>4847</v>
      </c>
      <c r="D266" s="4">
        <f t="shared" si="5"/>
        <v>46776531</v>
      </c>
      <c r="E266" s="4">
        <f>9671/3</f>
        <v>3223.6666666666665</v>
      </c>
      <c r="G266" s="4" t="s">
        <v>17</v>
      </c>
      <c r="H266" s="4">
        <v>71</v>
      </c>
      <c r="I266" s="4">
        <v>481</v>
      </c>
      <c r="J266" s="4">
        <v>6867535</v>
      </c>
      <c r="K266" s="4">
        <v>4765.666666666667</v>
      </c>
    </row>
    <row r="267" spans="1:11" x14ac:dyDescent="0.2">
      <c r="A267" s="20" t="s">
        <v>56</v>
      </c>
      <c r="B267" s="4">
        <f t="shared" si="5"/>
        <v>613</v>
      </c>
      <c r="C267" s="4">
        <f t="shared" si="5"/>
        <v>8417</v>
      </c>
      <c r="D267" s="4">
        <f t="shared" si="5"/>
        <v>94556917</v>
      </c>
      <c r="E267" s="4">
        <f>10948/3</f>
        <v>3649.3333333333335</v>
      </c>
      <c r="G267" s="20" t="s">
        <v>56</v>
      </c>
      <c r="H267" s="4">
        <v>76</v>
      </c>
      <c r="I267" s="4">
        <v>1030</v>
      </c>
      <c r="J267" s="4">
        <v>17759091</v>
      </c>
      <c r="K267" s="4">
        <v>5719.666666666667</v>
      </c>
    </row>
    <row r="268" spans="1:11" x14ac:dyDescent="0.2">
      <c r="A268" s="4" t="s">
        <v>18</v>
      </c>
      <c r="B268" s="4">
        <f t="shared" si="5"/>
        <v>706</v>
      </c>
      <c r="C268" s="4">
        <f t="shared" si="5"/>
        <v>23155</v>
      </c>
      <c r="D268" s="4">
        <f t="shared" si="5"/>
        <v>262905925</v>
      </c>
      <c r="E268" s="4">
        <f>10906/3</f>
        <v>3635.3333333333335</v>
      </c>
      <c r="G268" s="4" t="s">
        <v>18</v>
      </c>
      <c r="H268" s="4">
        <v>67</v>
      </c>
      <c r="I268" s="4">
        <v>2198</v>
      </c>
      <c r="J268" s="4">
        <v>33982623</v>
      </c>
      <c r="K268" s="4">
        <v>5217.666666666667</v>
      </c>
    </row>
    <row r="269" spans="1:11" x14ac:dyDescent="0.2">
      <c r="A269" s="4" t="s">
        <v>19</v>
      </c>
      <c r="B269" s="4">
        <f t="shared" si="5"/>
        <v>739</v>
      </c>
      <c r="C269" s="4">
        <f t="shared" si="5"/>
        <v>52052</v>
      </c>
      <c r="D269" s="4">
        <f t="shared" si="5"/>
        <v>573768854</v>
      </c>
      <c r="E269" s="4">
        <f>10217/3</f>
        <v>3405.6666666666665</v>
      </c>
      <c r="F269" s="4" t="s">
        <v>28</v>
      </c>
      <c r="G269" s="4" t="s">
        <v>19</v>
      </c>
      <c r="H269" s="4">
        <v>43</v>
      </c>
      <c r="I269" s="4">
        <v>3182</v>
      </c>
      <c r="J269" s="4">
        <v>54430452</v>
      </c>
      <c r="K269" s="4">
        <v>5709</v>
      </c>
    </row>
    <row r="270" spans="1:11" x14ac:dyDescent="0.2">
      <c r="A270" s="4" t="s">
        <v>20</v>
      </c>
      <c r="B270" s="4">
        <f t="shared" si="5"/>
        <v>296</v>
      </c>
      <c r="C270" s="4">
        <f t="shared" si="5"/>
        <v>43024</v>
      </c>
      <c r="D270" s="4">
        <f t="shared" si="5"/>
        <v>505678888</v>
      </c>
      <c r="E270" s="4">
        <f>10041/3</f>
        <v>3347</v>
      </c>
      <c r="G270" s="4" t="s">
        <v>20</v>
      </c>
      <c r="H270" s="4">
        <v>19</v>
      </c>
      <c r="I270" s="4">
        <v>3106</v>
      </c>
      <c r="J270" s="4">
        <v>60178840</v>
      </c>
      <c r="K270" s="4">
        <v>6530.666666666667</v>
      </c>
    </row>
    <row r="271" spans="1:11" x14ac:dyDescent="0.2">
      <c r="A271" s="4" t="s">
        <v>21</v>
      </c>
      <c r="B271" s="4">
        <f t="shared" si="5"/>
        <v>64</v>
      </c>
      <c r="C271" s="4">
        <f t="shared" si="5"/>
        <v>22203</v>
      </c>
      <c r="D271" s="4">
        <f t="shared" si="5"/>
        <v>275851908</v>
      </c>
      <c r="E271" s="4">
        <f>11734/3</f>
        <v>3911.3333333333335</v>
      </c>
      <c r="G271" s="4" t="s">
        <v>21</v>
      </c>
      <c r="H271" s="4">
        <v>8</v>
      </c>
      <c r="I271" s="4">
        <v>2983</v>
      </c>
      <c r="J271" s="4">
        <v>58461516</v>
      </c>
      <c r="K271" s="4">
        <v>6540.666666666667</v>
      </c>
    </row>
    <row r="272" spans="1:11" x14ac:dyDescent="0.2">
      <c r="A272" s="4" t="s">
        <v>23</v>
      </c>
      <c r="B272" s="4">
        <f t="shared" si="5"/>
        <v>23</v>
      </c>
      <c r="C272" s="4">
        <f t="shared" si="5"/>
        <v>15807</v>
      </c>
      <c r="D272" s="4">
        <f t="shared" si="5"/>
        <v>162794824</v>
      </c>
      <c r="E272" s="4">
        <f>10653/3</f>
        <v>3551</v>
      </c>
      <c r="G272" s="4" t="s">
        <v>55</v>
      </c>
      <c r="H272" s="4">
        <v>3</v>
      </c>
      <c r="I272" s="4">
        <v>1772</v>
      </c>
      <c r="J272" s="4">
        <v>28781847</v>
      </c>
      <c r="K272" s="4">
        <v>5397</v>
      </c>
    </row>
    <row r="273" spans="1:11" x14ac:dyDescent="0.2">
      <c r="A273" s="4" t="s">
        <v>24</v>
      </c>
      <c r="B273" s="4">
        <f t="shared" si="5"/>
        <v>18</v>
      </c>
      <c r="C273" s="4">
        <f t="shared" si="5"/>
        <v>82169</v>
      </c>
      <c r="D273" s="4">
        <f t="shared" si="5"/>
        <v>1179209316</v>
      </c>
      <c r="E273" s="4">
        <f>13675/3</f>
        <v>4558.333333333333</v>
      </c>
      <c r="G273" s="4" t="s">
        <v>24</v>
      </c>
      <c r="H273" s="4">
        <v>4</v>
      </c>
      <c r="I273" s="4">
        <v>23673</v>
      </c>
      <c r="J273" s="4">
        <v>406561775</v>
      </c>
      <c r="K273" s="4">
        <v>5767.333333333333</v>
      </c>
    </row>
    <row r="277" spans="1:11" x14ac:dyDescent="0.2">
      <c r="A277" s="34" t="s">
        <v>47</v>
      </c>
      <c r="B277" s="34"/>
      <c r="C277" s="34"/>
      <c r="D277" s="34"/>
      <c r="E277" s="34"/>
      <c r="F277" s="7"/>
      <c r="G277" s="34" t="s">
        <v>48</v>
      </c>
      <c r="H277" s="34"/>
      <c r="I277" s="34"/>
      <c r="J277" s="34"/>
      <c r="K277" s="34"/>
    </row>
    <row r="278" spans="1:11" x14ac:dyDescent="0.2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</row>
    <row r="279" spans="1:11" x14ac:dyDescent="0.2">
      <c r="A279" s="9"/>
      <c r="B279" s="9"/>
      <c r="C279" s="9"/>
      <c r="D279" s="9" t="s">
        <v>2</v>
      </c>
      <c r="E279" s="9" t="s">
        <v>3</v>
      </c>
      <c r="F279" s="7"/>
      <c r="G279" s="9"/>
      <c r="H279" s="9"/>
      <c r="I279" s="9"/>
      <c r="J279" s="9" t="s">
        <v>2</v>
      </c>
      <c r="K279" s="9" t="s">
        <v>3</v>
      </c>
    </row>
    <row r="280" spans="1:11" x14ac:dyDescent="0.2">
      <c r="A280" s="23" t="s">
        <v>4</v>
      </c>
      <c r="B280" s="9" t="s">
        <v>5</v>
      </c>
      <c r="C280" s="9" t="s">
        <v>6</v>
      </c>
      <c r="D280" s="9" t="s">
        <v>7</v>
      </c>
      <c r="E280" s="9" t="s">
        <v>8</v>
      </c>
      <c r="F280" s="7"/>
      <c r="G280" s="23" t="s">
        <v>4</v>
      </c>
      <c r="H280" s="9" t="s">
        <v>5</v>
      </c>
      <c r="I280" s="9" t="s">
        <v>6</v>
      </c>
      <c r="J280" s="9" t="s">
        <v>7</v>
      </c>
      <c r="K280" s="9" t="s">
        <v>8</v>
      </c>
    </row>
    <row r="281" spans="1:11" x14ac:dyDescent="0.2">
      <c r="A281" s="23" t="s">
        <v>9</v>
      </c>
      <c r="B281" s="9" t="s">
        <v>10</v>
      </c>
      <c r="C281" s="9" t="s">
        <v>11</v>
      </c>
      <c r="D281" s="9" t="s">
        <v>12</v>
      </c>
      <c r="E281" s="9" t="s">
        <v>13</v>
      </c>
      <c r="F281" s="7"/>
      <c r="G281" s="23" t="s">
        <v>9</v>
      </c>
      <c r="H281" s="9" t="s">
        <v>10</v>
      </c>
      <c r="I281" s="9" t="s">
        <v>11</v>
      </c>
      <c r="J281" s="9" t="s">
        <v>12</v>
      </c>
      <c r="K281" s="9" t="s">
        <v>13</v>
      </c>
    </row>
    <row r="284" spans="1:11" s="8" customFormat="1" x14ac:dyDescent="0.2">
      <c r="A284" s="13" t="s">
        <v>27</v>
      </c>
      <c r="B284" s="13">
        <f>SUM(B286:B297)</f>
        <v>26</v>
      </c>
      <c r="C284" s="13">
        <f>SUM(C286:C297)</f>
        <v>15513</v>
      </c>
      <c r="D284" s="27">
        <f>SUM(D286:D297)</f>
        <v>296562751</v>
      </c>
      <c r="E284" s="27">
        <v>6371</v>
      </c>
      <c r="F284" s="13"/>
      <c r="G284" s="13" t="s">
        <v>27</v>
      </c>
      <c r="H284" s="13">
        <f>SUM(H286:H295)</f>
        <v>939</v>
      </c>
      <c r="I284" s="13">
        <f>SUM(I286:I295)</f>
        <v>83004</v>
      </c>
      <c r="J284" s="27">
        <f>SUM(J286:J295)</f>
        <v>1047289084</v>
      </c>
      <c r="K284" s="27">
        <v>4260.666666666667</v>
      </c>
    </row>
    <row r="285" spans="1:11" x14ac:dyDescent="0.2">
      <c r="A285" s="12"/>
      <c r="B285" s="12"/>
      <c r="C285" s="12"/>
      <c r="D285" s="12"/>
      <c r="E285" s="12"/>
      <c r="F285" s="12"/>
      <c r="G285" s="12" t="s">
        <v>28</v>
      </c>
      <c r="H285" s="12"/>
      <c r="I285" s="12"/>
      <c r="J285" s="12"/>
      <c r="K285" s="12"/>
    </row>
    <row r="286" spans="1:11" x14ac:dyDescent="0.2">
      <c r="A286" s="28">
        <v>0</v>
      </c>
      <c r="B286" s="12">
        <v>1</v>
      </c>
      <c r="C286" s="12">
        <v>0</v>
      </c>
      <c r="D286" s="12">
        <v>0</v>
      </c>
      <c r="E286" s="4">
        <v>0</v>
      </c>
      <c r="F286" s="12"/>
      <c r="G286" s="28">
        <v>0</v>
      </c>
      <c r="H286" s="12">
        <v>19</v>
      </c>
      <c r="I286" s="12">
        <v>0</v>
      </c>
      <c r="J286" s="29">
        <v>221352</v>
      </c>
      <c r="K286" s="29">
        <v>3162</v>
      </c>
    </row>
    <row r="287" spans="1:11" x14ac:dyDescent="0.2">
      <c r="A287" s="30" t="s">
        <v>16</v>
      </c>
      <c r="B287" s="12">
        <v>4</v>
      </c>
      <c r="C287" s="12">
        <v>10</v>
      </c>
      <c r="D287" s="12">
        <v>160754</v>
      </c>
      <c r="E287" s="12">
        <v>5358.333333333333</v>
      </c>
      <c r="F287" s="12"/>
      <c r="G287" s="30" t="s">
        <v>16</v>
      </c>
      <c r="H287" s="12">
        <v>328</v>
      </c>
      <c r="I287" s="12">
        <v>649</v>
      </c>
      <c r="J287" s="12">
        <v>8245402</v>
      </c>
      <c r="K287" s="12">
        <v>4259</v>
      </c>
    </row>
    <row r="288" spans="1:11" x14ac:dyDescent="0.2">
      <c r="A288" s="12" t="s">
        <v>17</v>
      </c>
      <c r="B288" s="12">
        <v>5</v>
      </c>
      <c r="C288" s="12">
        <v>32</v>
      </c>
      <c r="D288" s="12">
        <v>533824</v>
      </c>
      <c r="E288" s="12">
        <v>5560.666666666667</v>
      </c>
      <c r="F288" s="12"/>
      <c r="G288" s="12" t="s">
        <v>17</v>
      </c>
      <c r="H288" s="12">
        <v>186</v>
      </c>
      <c r="I288" s="12">
        <v>1242</v>
      </c>
      <c r="J288" s="12">
        <v>14062007</v>
      </c>
      <c r="K288" s="12">
        <v>3822.3333333333335</v>
      </c>
    </row>
    <row r="289" spans="1:11" x14ac:dyDescent="0.2">
      <c r="A289" s="30" t="s">
        <v>56</v>
      </c>
      <c r="B289" s="12">
        <v>3</v>
      </c>
      <c r="C289" s="12">
        <v>42</v>
      </c>
      <c r="D289" s="12">
        <v>943834</v>
      </c>
      <c r="E289" s="12">
        <v>5755</v>
      </c>
      <c r="F289" s="12"/>
      <c r="G289" s="30" t="s">
        <v>56</v>
      </c>
      <c r="H289" s="12">
        <v>164</v>
      </c>
      <c r="I289" s="12">
        <v>2272</v>
      </c>
      <c r="J289" s="12">
        <v>23406888</v>
      </c>
      <c r="K289" s="12">
        <v>3463.6666666666665</v>
      </c>
    </row>
    <row r="290" spans="1:11" x14ac:dyDescent="0.2">
      <c r="A290" s="12" t="s">
        <v>18</v>
      </c>
      <c r="B290" s="12">
        <v>3</v>
      </c>
      <c r="C290" s="12">
        <v>100</v>
      </c>
      <c r="D290" s="12">
        <v>1599588</v>
      </c>
      <c r="E290" s="12">
        <v>5244.666666666667</v>
      </c>
      <c r="F290" s="12"/>
      <c r="G290" s="12" t="s">
        <v>18</v>
      </c>
      <c r="H290" s="12">
        <v>117</v>
      </c>
      <c r="I290" s="12">
        <v>3709</v>
      </c>
      <c r="J290" s="12">
        <v>41262702</v>
      </c>
      <c r="K290" s="12">
        <v>3724</v>
      </c>
    </row>
    <row r="291" spans="1:11" x14ac:dyDescent="0.2">
      <c r="A291" s="12" t="s">
        <v>19</v>
      </c>
      <c r="B291" s="12">
        <v>4</v>
      </c>
      <c r="C291" s="12">
        <v>303</v>
      </c>
      <c r="D291" s="12">
        <v>5602396</v>
      </c>
      <c r="E291" s="12">
        <v>6190.333333333333</v>
      </c>
      <c r="F291" s="12"/>
      <c r="G291" s="12" t="s">
        <v>19</v>
      </c>
      <c r="H291" s="12">
        <v>51</v>
      </c>
      <c r="I291" s="12">
        <v>3592</v>
      </c>
      <c r="J291" s="12">
        <v>43624943</v>
      </c>
      <c r="K291" s="12">
        <v>3918.6666666666665</v>
      </c>
    </row>
    <row r="292" spans="1:11" x14ac:dyDescent="0.2">
      <c r="A292" s="12" t="s">
        <v>20</v>
      </c>
      <c r="B292" s="12">
        <v>2</v>
      </c>
      <c r="C292" s="12">
        <v>421</v>
      </c>
      <c r="D292" s="12">
        <v>6379572</v>
      </c>
      <c r="E292" s="12">
        <v>5136.666666666667</v>
      </c>
      <c r="F292" s="12"/>
      <c r="G292" s="12" t="s">
        <v>20</v>
      </c>
      <c r="H292" s="12">
        <v>33</v>
      </c>
      <c r="I292" s="12">
        <v>5107</v>
      </c>
      <c r="J292" s="12">
        <v>57675070</v>
      </c>
      <c r="K292" s="12">
        <v>3787</v>
      </c>
    </row>
    <row r="293" spans="1:11" x14ac:dyDescent="0.2">
      <c r="A293" s="12" t="s">
        <v>21</v>
      </c>
      <c r="B293" s="12">
        <v>2</v>
      </c>
      <c r="C293" s="12">
        <v>896</v>
      </c>
      <c r="D293" s="12">
        <v>16374295</v>
      </c>
      <c r="E293" s="12">
        <v>5954.333333333333</v>
      </c>
      <c r="F293" s="12"/>
      <c r="G293" s="12" t="s">
        <v>21</v>
      </c>
      <c r="H293" s="12">
        <v>16</v>
      </c>
      <c r="I293" s="12">
        <v>5954</v>
      </c>
      <c r="J293" s="12">
        <v>75387397</v>
      </c>
      <c r="K293" s="12">
        <v>4259.666666666667</v>
      </c>
    </row>
    <row r="294" spans="1:11" x14ac:dyDescent="0.2">
      <c r="A294" s="12" t="s">
        <v>23</v>
      </c>
      <c r="B294" s="12">
        <v>1</v>
      </c>
      <c r="C294" s="12">
        <v>536</v>
      </c>
      <c r="D294" s="12">
        <v>8855164</v>
      </c>
      <c r="E294" s="12">
        <v>5534.333333333333</v>
      </c>
      <c r="F294" s="12"/>
      <c r="G294" s="12" t="s">
        <v>23</v>
      </c>
      <c r="H294" s="12">
        <v>13</v>
      </c>
      <c r="I294" s="12">
        <v>9165</v>
      </c>
      <c r="J294" s="12">
        <v>83041841</v>
      </c>
      <c r="K294" s="12">
        <v>3054.6666666666665</v>
      </c>
    </row>
    <row r="295" spans="1:11" x14ac:dyDescent="0.2">
      <c r="A295" s="12" t="s">
        <v>24</v>
      </c>
      <c r="B295" s="12">
        <v>1</v>
      </c>
      <c r="C295" s="12">
        <v>13173</v>
      </c>
      <c r="D295" s="12">
        <v>256113324</v>
      </c>
      <c r="E295" s="12">
        <v>6491.666666666667</v>
      </c>
      <c r="F295" s="12"/>
      <c r="G295" s="12" t="s">
        <v>24</v>
      </c>
      <c r="H295" s="12">
        <v>12</v>
      </c>
      <c r="I295" s="12">
        <v>51314</v>
      </c>
      <c r="J295" s="12">
        <v>700361482</v>
      </c>
      <c r="K295" s="12">
        <v>4637.333333333333</v>
      </c>
    </row>
    <row r="296" spans="1:11" x14ac:dyDescent="0.2">
      <c r="B296" s="14"/>
      <c r="C296" s="14"/>
      <c r="D296" s="14"/>
      <c r="E296" s="14"/>
    </row>
    <row r="297" spans="1:11" x14ac:dyDescent="0.2">
      <c r="A297" s="25" t="s">
        <v>64</v>
      </c>
      <c r="B297" s="26"/>
      <c r="C297" s="26"/>
      <c r="D297" s="26"/>
      <c r="E297" s="26"/>
      <c r="F297" s="26"/>
      <c r="G297" s="26"/>
      <c r="H297" s="26"/>
      <c r="I297" s="26"/>
    </row>
    <row r="302" spans="1:11" x14ac:dyDescent="0.2">
      <c r="D302" s="25"/>
      <c r="E302" s="26"/>
      <c r="F302" s="26"/>
      <c r="G302" s="26"/>
      <c r="H302" s="26"/>
    </row>
    <row r="303" spans="1:11" x14ac:dyDescent="0.2">
      <c r="A303" s="35" t="s">
        <v>60</v>
      </c>
      <c r="B303" s="43"/>
      <c r="C303" s="43"/>
      <c r="D303" s="43"/>
      <c r="E303" s="43"/>
      <c r="F303" s="43"/>
      <c r="G303" s="43"/>
      <c r="H303" s="43"/>
      <c r="I303" s="43"/>
      <c r="J303" s="43"/>
      <c r="K303" s="43"/>
    </row>
    <row r="304" spans="1:11" x14ac:dyDescent="0.2">
      <c r="A304" s="35" t="s">
        <v>66</v>
      </c>
      <c r="B304" s="36"/>
      <c r="C304" s="36"/>
      <c r="D304" s="36"/>
      <c r="E304" s="36"/>
      <c r="F304" s="36"/>
      <c r="G304" s="36"/>
      <c r="H304" s="36"/>
      <c r="I304" s="36"/>
      <c r="J304" s="36"/>
      <c r="K304" s="36"/>
    </row>
    <row r="305" spans="1:11" x14ac:dyDescent="0.2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</row>
    <row r="306" spans="1:11" x14ac:dyDescent="0.2">
      <c r="A306" s="34" t="s">
        <v>49</v>
      </c>
      <c r="B306" s="34"/>
      <c r="C306" s="34"/>
      <c r="D306" s="34"/>
      <c r="E306" s="34"/>
      <c r="F306" s="7"/>
      <c r="G306" s="34" t="s">
        <v>50</v>
      </c>
      <c r="H306" s="34"/>
      <c r="I306" s="34"/>
      <c r="J306" s="34"/>
      <c r="K306" s="34"/>
    </row>
    <row r="307" spans="1:11" x14ac:dyDescent="0.2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</row>
    <row r="308" spans="1:11" x14ac:dyDescent="0.2">
      <c r="A308" s="9"/>
      <c r="B308" s="9"/>
      <c r="C308" s="9"/>
      <c r="D308" s="9" t="s">
        <v>2</v>
      </c>
      <c r="E308" s="9" t="s">
        <v>3</v>
      </c>
      <c r="F308" s="7"/>
      <c r="G308" s="9"/>
      <c r="H308" s="9"/>
      <c r="I308" s="9"/>
      <c r="J308" s="9" t="s">
        <v>2</v>
      </c>
      <c r="K308" s="9" t="s">
        <v>3</v>
      </c>
    </row>
    <row r="309" spans="1:11" x14ac:dyDescent="0.2">
      <c r="A309" s="23" t="s">
        <v>4</v>
      </c>
      <c r="B309" s="9" t="s">
        <v>5</v>
      </c>
      <c r="C309" s="9" t="s">
        <v>6</v>
      </c>
      <c r="D309" s="9" t="s">
        <v>7</v>
      </c>
      <c r="E309" s="9" t="s">
        <v>8</v>
      </c>
      <c r="F309" s="7"/>
      <c r="G309" s="23" t="s">
        <v>4</v>
      </c>
      <c r="H309" s="9" t="s">
        <v>5</v>
      </c>
      <c r="I309" s="9" t="s">
        <v>6</v>
      </c>
      <c r="J309" s="9" t="s">
        <v>7</v>
      </c>
      <c r="K309" s="9" t="s">
        <v>8</v>
      </c>
    </row>
    <row r="310" spans="1:11" x14ac:dyDescent="0.2">
      <c r="A310" s="23" t="s">
        <v>9</v>
      </c>
      <c r="B310" s="9" t="s">
        <v>10</v>
      </c>
      <c r="C310" s="9" t="s">
        <v>11</v>
      </c>
      <c r="D310" s="9" t="s">
        <v>12</v>
      </c>
      <c r="E310" s="9" t="s">
        <v>13</v>
      </c>
      <c r="F310" s="7"/>
      <c r="G310" s="23" t="s">
        <v>9</v>
      </c>
      <c r="H310" s="9" t="s">
        <v>10</v>
      </c>
      <c r="I310" s="9" t="s">
        <v>11</v>
      </c>
      <c r="J310" s="9" t="s">
        <v>12</v>
      </c>
      <c r="K310" s="9" t="s">
        <v>13</v>
      </c>
    </row>
    <row r="313" spans="1:11" s="8" customFormat="1" x14ac:dyDescent="0.2">
      <c r="A313" s="13" t="s">
        <v>27</v>
      </c>
      <c r="B313" s="13">
        <f>SUM(B315:B324)</f>
        <v>51</v>
      </c>
      <c r="C313" s="13">
        <f>SUM(C315:C324)</f>
        <v>49126</v>
      </c>
      <c r="D313" s="27">
        <f>SUM(D315:D324)</f>
        <v>594758016</v>
      </c>
      <c r="E313" s="27">
        <v>4883</v>
      </c>
      <c r="F313" s="13"/>
      <c r="G313" s="13" t="s">
        <v>27</v>
      </c>
      <c r="H313" s="13">
        <f>SUM(H315:H325)</f>
        <v>2764</v>
      </c>
      <c r="I313" s="13">
        <f>SUM(I315:I325)</f>
        <v>131882</v>
      </c>
      <c r="J313" s="27">
        <f>SUM(J315:J324)</f>
        <v>1405028715</v>
      </c>
      <c r="K313" s="27">
        <f>10755/3</f>
        <v>3585</v>
      </c>
    </row>
    <row r="314" spans="1:11" x14ac:dyDescent="0.2">
      <c r="A314" s="12" t="s">
        <v>28</v>
      </c>
      <c r="B314" s="12"/>
      <c r="C314" s="12"/>
      <c r="D314" s="12"/>
      <c r="E314" s="12"/>
      <c r="F314" s="12"/>
      <c r="G314" s="12" t="s">
        <v>28</v>
      </c>
      <c r="H314" s="12"/>
      <c r="I314" s="12"/>
      <c r="J314" s="12"/>
      <c r="K314" s="12"/>
    </row>
    <row r="315" spans="1:11" x14ac:dyDescent="0.2">
      <c r="A315" s="28">
        <v>0</v>
      </c>
      <c r="B315" s="12">
        <v>3</v>
      </c>
      <c r="C315" s="12">
        <v>0</v>
      </c>
      <c r="D315" s="29">
        <v>0</v>
      </c>
      <c r="E315" s="12">
        <v>0</v>
      </c>
      <c r="F315" s="12"/>
      <c r="G315" s="12" t="s">
        <v>15</v>
      </c>
      <c r="H315" s="12">
        <v>48</v>
      </c>
      <c r="I315" s="12">
        <v>0</v>
      </c>
      <c r="J315" s="12">
        <v>68914</v>
      </c>
      <c r="K315" s="12">
        <v>6891.333333333333</v>
      </c>
    </row>
    <row r="316" spans="1:11" x14ac:dyDescent="0.2">
      <c r="A316" s="30" t="s">
        <v>16</v>
      </c>
      <c r="B316" s="12">
        <v>5</v>
      </c>
      <c r="C316" s="12">
        <v>9</v>
      </c>
      <c r="D316" s="12">
        <v>127202</v>
      </c>
      <c r="E316" s="12">
        <v>2062.3333333333335</v>
      </c>
      <c r="F316" s="12"/>
      <c r="G316" s="12" t="s">
        <v>16</v>
      </c>
      <c r="H316" s="12">
        <v>412</v>
      </c>
      <c r="I316" s="12">
        <v>988</v>
      </c>
      <c r="J316" s="12">
        <v>9262647</v>
      </c>
      <c r="K316" s="12">
        <v>3072</v>
      </c>
    </row>
    <row r="317" spans="1:11" x14ac:dyDescent="0.2">
      <c r="A317" s="12" t="s">
        <v>17</v>
      </c>
      <c r="B317" s="12">
        <v>2</v>
      </c>
      <c r="C317" s="12">
        <v>16</v>
      </c>
      <c r="D317" s="12">
        <v>96936</v>
      </c>
      <c r="E317" s="33">
        <v>3453.3333333333335</v>
      </c>
      <c r="F317" s="12"/>
      <c r="G317" s="12" t="s">
        <v>17</v>
      </c>
      <c r="H317" s="12">
        <v>471</v>
      </c>
      <c r="I317" s="12">
        <v>3124</v>
      </c>
      <c r="J317" s="12">
        <v>25846989</v>
      </c>
      <c r="K317" s="12">
        <v>2764</v>
      </c>
    </row>
    <row r="318" spans="1:11" x14ac:dyDescent="0.2">
      <c r="A318" s="30" t="s">
        <v>56</v>
      </c>
      <c r="B318" s="12">
        <v>4</v>
      </c>
      <c r="C318" s="12">
        <v>46</v>
      </c>
      <c r="D318" s="12">
        <v>462730</v>
      </c>
      <c r="E318" s="12">
        <v>2883.6666666666665</v>
      </c>
      <c r="F318" s="12"/>
      <c r="G318" s="30" t="s">
        <v>56</v>
      </c>
      <c r="H318" s="12">
        <v>373</v>
      </c>
      <c r="I318" s="12">
        <v>5115</v>
      </c>
      <c r="J318" s="12">
        <v>53390938</v>
      </c>
      <c r="K318" s="12">
        <v>3510.3333333333335</v>
      </c>
    </row>
    <row r="319" spans="1:11" x14ac:dyDescent="0.2">
      <c r="A319" s="12" t="s">
        <v>18</v>
      </c>
      <c r="B319" s="12">
        <v>2</v>
      </c>
      <c r="C319" s="12">
        <v>60</v>
      </c>
      <c r="D319" s="12">
        <v>527746</v>
      </c>
      <c r="E319" s="12">
        <v>2447.6666666666665</v>
      </c>
      <c r="F319" s="12"/>
      <c r="G319" s="12" t="s">
        <v>18</v>
      </c>
      <c r="H319" s="12">
        <v>522</v>
      </c>
      <c r="I319" s="12">
        <v>17248</v>
      </c>
      <c r="J319" s="12">
        <v>187660600</v>
      </c>
      <c r="K319" s="12">
        <v>3648.6666666666665</v>
      </c>
    </row>
    <row r="320" spans="1:11" x14ac:dyDescent="0.2">
      <c r="A320" s="12" t="s">
        <v>19</v>
      </c>
      <c r="B320" s="12">
        <v>7</v>
      </c>
      <c r="C320" s="12">
        <v>490</v>
      </c>
      <c r="D320" s="12">
        <v>3453736</v>
      </c>
      <c r="E320" s="12">
        <v>2087.3333333333335</v>
      </c>
      <c r="F320" s="12"/>
      <c r="G320" s="12" t="s">
        <v>19</v>
      </c>
      <c r="H320" s="12">
        <v>645</v>
      </c>
      <c r="I320" s="12">
        <v>45278</v>
      </c>
      <c r="J320" s="12">
        <v>475713459</v>
      </c>
      <c r="K320" s="12">
        <v>3517.3333333333335</v>
      </c>
    </row>
    <row r="321" spans="1:11" x14ac:dyDescent="0.2">
      <c r="A321" s="12" t="s">
        <v>20</v>
      </c>
      <c r="B321" s="12">
        <v>8</v>
      </c>
      <c r="C321" s="12">
        <v>1331</v>
      </c>
      <c r="D321" s="12">
        <v>8107748</v>
      </c>
      <c r="E321" s="12">
        <v>3050.3333333333335</v>
      </c>
      <c r="F321" s="12"/>
      <c r="G321" s="12" t="s">
        <v>20</v>
      </c>
      <c r="H321" s="12">
        <v>244</v>
      </c>
      <c r="I321" s="12">
        <v>34811</v>
      </c>
      <c r="J321" s="12">
        <v>387824978</v>
      </c>
      <c r="K321" s="12">
        <v>3740.6666666666665</v>
      </c>
    </row>
    <row r="322" spans="1:11" x14ac:dyDescent="0.2">
      <c r="A322" s="12" t="s">
        <v>21</v>
      </c>
      <c r="B322" s="12">
        <v>4</v>
      </c>
      <c r="C322" s="12">
        <v>1279</v>
      </c>
      <c r="D322" s="12">
        <v>11499707</v>
      </c>
      <c r="E322" s="12">
        <v>1197.3333333333333</v>
      </c>
      <c r="F322" s="12"/>
      <c r="G322" s="12" t="s">
        <v>21</v>
      </c>
      <c r="H322" s="12">
        <v>40</v>
      </c>
      <c r="I322" s="12">
        <v>13266</v>
      </c>
      <c r="J322" s="12">
        <v>142002995</v>
      </c>
      <c r="K322" s="12">
        <v>3610.6666666666665</v>
      </c>
    </row>
    <row r="323" spans="1:11" x14ac:dyDescent="0.2">
      <c r="A323" s="12" t="s">
        <v>23</v>
      </c>
      <c r="B323" s="12">
        <v>5</v>
      </c>
      <c r="C323" s="12">
        <v>3318</v>
      </c>
      <c r="D323" s="12">
        <v>11580501</v>
      </c>
      <c r="E323" s="12">
        <v>4474.666666666667</v>
      </c>
      <c r="F323" s="12"/>
      <c r="G323" s="12" t="s">
        <v>23</v>
      </c>
      <c r="H323" s="12">
        <v>7</v>
      </c>
      <c r="I323" s="12">
        <v>4870</v>
      </c>
      <c r="J323" s="12">
        <v>50971136</v>
      </c>
      <c r="K323" s="12">
        <v>3510</v>
      </c>
    </row>
    <row r="324" spans="1:11" x14ac:dyDescent="0.2">
      <c r="A324" s="12" t="s">
        <v>24</v>
      </c>
      <c r="B324" s="12">
        <v>11</v>
      </c>
      <c r="C324" s="12">
        <v>42577</v>
      </c>
      <c r="D324" s="12">
        <v>558901710</v>
      </c>
      <c r="E324" s="12">
        <v>4129.333333333333</v>
      </c>
      <c r="F324" s="12"/>
      <c r="G324" s="12" t="s">
        <v>24</v>
      </c>
      <c r="H324" s="12">
        <v>2</v>
      </c>
      <c r="I324" s="12">
        <v>7182</v>
      </c>
      <c r="J324" s="12">
        <v>72286059</v>
      </c>
      <c r="K324" s="12">
        <v>3593</v>
      </c>
    </row>
    <row r="325" spans="1:11" x14ac:dyDescent="0.2">
      <c r="E325" s="4" t="s">
        <v>28</v>
      </c>
    </row>
    <row r="328" spans="1:11" x14ac:dyDescent="0.2">
      <c r="A328" s="34" t="s">
        <v>51</v>
      </c>
      <c r="B328" s="34"/>
      <c r="C328" s="34"/>
      <c r="D328" s="34"/>
      <c r="E328" s="34"/>
      <c r="F328" s="7"/>
      <c r="G328" s="34" t="s">
        <v>52</v>
      </c>
      <c r="H328" s="34"/>
      <c r="I328" s="34"/>
      <c r="J328" s="34"/>
      <c r="K328" s="34"/>
    </row>
    <row r="329" spans="1:11" x14ac:dyDescent="0.2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</row>
    <row r="330" spans="1:11" x14ac:dyDescent="0.2">
      <c r="A330" s="9"/>
      <c r="B330" s="9"/>
      <c r="C330" s="9"/>
      <c r="D330" s="9" t="s">
        <v>2</v>
      </c>
      <c r="E330" s="9" t="s">
        <v>3</v>
      </c>
      <c r="F330" s="7"/>
      <c r="G330" s="9"/>
      <c r="H330" s="9"/>
      <c r="I330" s="9"/>
      <c r="J330" s="9" t="s">
        <v>2</v>
      </c>
      <c r="K330" s="9" t="s">
        <v>3</v>
      </c>
    </row>
    <row r="331" spans="1:11" x14ac:dyDescent="0.2">
      <c r="A331" s="23" t="s">
        <v>4</v>
      </c>
      <c r="B331" s="9" t="s">
        <v>5</v>
      </c>
      <c r="C331" s="9" t="s">
        <v>6</v>
      </c>
      <c r="D331" s="9" t="s">
        <v>7</v>
      </c>
      <c r="E331" s="9" t="s">
        <v>8</v>
      </c>
      <c r="F331" s="7"/>
      <c r="G331" s="23" t="s">
        <v>4</v>
      </c>
      <c r="H331" s="9" t="s">
        <v>5</v>
      </c>
      <c r="I331" s="9" t="s">
        <v>6</v>
      </c>
      <c r="J331" s="9" t="s">
        <v>7</v>
      </c>
      <c r="K331" s="9" t="s">
        <v>8</v>
      </c>
    </row>
    <row r="332" spans="1:11" x14ac:dyDescent="0.2">
      <c r="A332" s="23" t="s">
        <v>9</v>
      </c>
      <c r="B332" s="9" t="s">
        <v>10</v>
      </c>
      <c r="C332" s="9" t="s">
        <v>11</v>
      </c>
      <c r="D332" s="9" t="s">
        <v>12</v>
      </c>
      <c r="E332" s="9" t="s">
        <v>13</v>
      </c>
      <c r="F332" s="7"/>
      <c r="G332" s="23" t="s">
        <v>9</v>
      </c>
      <c r="H332" s="9" t="s">
        <v>10</v>
      </c>
      <c r="I332" s="9" t="s">
        <v>11</v>
      </c>
      <c r="J332" s="9" t="s">
        <v>12</v>
      </c>
      <c r="K332" s="9" t="s">
        <v>13</v>
      </c>
    </row>
    <row r="335" spans="1:11" s="8" customFormat="1" x14ac:dyDescent="0.2">
      <c r="A335" s="13" t="s">
        <v>27</v>
      </c>
      <c r="B335" s="13">
        <f>SUM(B337:B346)</f>
        <v>1062</v>
      </c>
      <c r="C335" s="13">
        <f>SUM(C337:C346)</f>
        <v>74780</v>
      </c>
      <c r="D335" s="27">
        <f>SUM(D337:D346)</f>
        <v>813211091</v>
      </c>
      <c r="E335" s="27">
        <f>10971/3</f>
        <v>3657</v>
      </c>
      <c r="F335" s="13"/>
      <c r="G335" s="13" t="s">
        <v>27</v>
      </c>
      <c r="H335" s="13">
        <f>SUM(H337:H346)</f>
        <v>111191</v>
      </c>
      <c r="I335" s="13">
        <f>SUM(I337:I346)</f>
        <v>1337156</v>
      </c>
      <c r="J335" s="27">
        <f>SUM(J337:J346)</f>
        <v>18393517088</v>
      </c>
      <c r="K335" s="27">
        <v>4611.666666666667</v>
      </c>
    </row>
    <row r="336" spans="1:11" x14ac:dyDescent="0.2">
      <c r="A336" s="12" t="s">
        <v>28</v>
      </c>
      <c r="B336" s="12"/>
      <c r="C336" s="12"/>
      <c r="D336" s="12"/>
      <c r="E336" s="12"/>
      <c r="F336" s="12"/>
      <c r="G336" s="12" t="s">
        <v>28</v>
      </c>
      <c r="H336" s="12"/>
      <c r="I336" s="12"/>
      <c r="J336" s="12"/>
      <c r="K336" s="12"/>
    </row>
    <row r="337" spans="1:11" x14ac:dyDescent="0.2">
      <c r="A337" s="28">
        <v>0</v>
      </c>
      <c r="B337" s="12">
        <v>10</v>
      </c>
      <c r="C337" s="12">
        <v>0</v>
      </c>
      <c r="D337" s="12">
        <v>24417</v>
      </c>
      <c r="E337" s="12">
        <v>4883.333333333333</v>
      </c>
      <c r="F337" s="12"/>
      <c r="G337" s="12" t="s">
        <v>15</v>
      </c>
      <c r="H337" s="12">
        <v>15860</v>
      </c>
      <c r="I337" s="12">
        <v>0</v>
      </c>
      <c r="J337" s="12">
        <v>93200513</v>
      </c>
      <c r="K337" s="12">
        <v>5575.666666666667</v>
      </c>
    </row>
    <row r="338" spans="1:11" x14ac:dyDescent="0.2">
      <c r="A338" s="30" t="s">
        <v>16</v>
      </c>
      <c r="B338" s="12">
        <v>43</v>
      </c>
      <c r="C338" s="12">
        <v>82</v>
      </c>
      <c r="D338" s="12">
        <v>883580</v>
      </c>
      <c r="E338" s="12">
        <v>3744</v>
      </c>
      <c r="F338" s="12"/>
      <c r="G338" s="12" t="s">
        <v>16</v>
      </c>
      <c r="H338" s="12">
        <v>55245</v>
      </c>
      <c r="I338" s="12">
        <v>98239</v>
      </c>
      <c r="J338" s="12">
        <v>1486021994</v>
      </c>
      <c r="K338" s="12">
        <v>5165.666666666667</v>
      </c>
    </row>
    <row r="339" spans="1:11" x14ac:dyDescent="0.2">
      <c r="A339" s="12" t="s">
        <v>17</v>
      </c>
      <c r="B339" s="12">
        <v>51</v>
      </c>
      <c r="C339" s="12">
        <v>324</v>
      </c>
      <c r="D339" s="12">
        <v>2334559</v>
      </c>
      <c r="E339" s="12">
        <v>2406.6666666666665</v>
      </c>
      <c r="F339" s="12"/>
      <c r="G339" s="12" t="s">
        <v>17</v>
      </c>
      <c r="H339" s="12">
        <v>15681</v>
      </c>
      <c r="I339" s="12">
        <v>104340</v>
      </c>
      <c r="J339" s="12">
        <v>1260682510</v>
      </c>
      <c r="K339" s="12">
        <v>4104</v>
      </c>
    </row>
    <row r="340" spans="1:11" x14ac:dyDescent="0.2">
      <c r="A340" s="30" t="s">
        <v>56</v>
      </c>
      <c r="B340" s="12">
        <v>61</v>
      </c>
      <c r="C340" s="12">
        <v>898</v>
      </c>
      <c r="D340" s="12">
        <v>9278451</v>
      </c>
      <c r="E340" s="12">
        <v>3460.6666666666665</v>
      </c>
      <c r="F340" s="12"/>
      <c r="G340" s="30" t="s">
        <v>56</v>
      </c>
      <c r="H340" s="12">
        <v>11895</v>
      </c>
      <c r="I340" s="12">
        <v>161487</v>
      </c>
      <c r="J340" s="12">
        <v>1777759854</v>
      </c>
      <c r="K340" s="12">
        <v>3732.3333333333335</v>
      </c>
    </row>
    <row r="341" spans="1:11" x14ac:dyDescent="0.2">
      <c r="A341" s="12" t="s">
        <v>18</v>
      </c>
      <c r="B341" s="12">
        <v>208</v>
      </c>
      <c r="C341" s="12">
        <v>7696</v>
      </c>
      <c r="D341" s="12">
        <v>87829532</v>
      </c>
      <c r="E341" s="12">
        <v>3827.6666666666665</v>
      </c>
      <c r="F341" s="12"/>
      <c r="G341" s="12" t="s">
        <v>18</v>
      </c>
      <c r="H341" s="12">
        <v>8137</v>
      </c>
      <c r="I341" s="12">
        <v>244708</v>
      </c>
      <c r="J341" s="12">
        <v>2772555046</v>
      </c>
      <c r="K341" s="12">
        <v>3828.6666666666665</v>
      </c>
    </row>
    <row r="342" spans="1:11" x14ac:dyDescent="0.2">
      <c r="A342" s="12" t="s">
        <v>19</v>
      </c>
      <c r="B342" s="12">
        <v>510</v>
      </c>
      <c r="C342" s="12">
        <v>35938</v>
      </c>
      <c r="D342" s="12">
        <v>374894955</v>
      </c>
      <c r="E342" s="12">
        <v>3501.6666666666665</v>
      </c>
      <c r="F342" s="12"/>
      <c r="G342" s="12" t="s">
        <v>19</v>
      </c>
      <c r="H342" s="12">
        <v>2504</v>
      </c>
      <c r="I342" s="12">
        <v>171820</v>
      </c>
      <c r="J342" s="12">
        <v>2325273437</v>
      </c>
      <c r="K342" s="12">
        <v>4563</v>
      </c>
    </row>
    <row r="343" spans="1:11" x14ac:dyDescent="0.2">
      <c r="A343" s="12" t="s">
        <v>20</v>
      </c>
      <c r="B343" s="12">
        <v>160</v>
      </c>
      <c r="C343" s="12">
        <v>22001</v>
      </c>
      <c r="D343" s="12">
        <v>257539242</v>
      </c>
      <c r="E343" s="12">
        <v>3938.6666666666665</v>
      </c>
      <c r="F343" s="12"/>
      <c r="G343" s="12" t="s">
        <v>20</v>
      </c>
      <c r="H343" s="12">
        <v>1295</v>
      </c>
      <c r="I343" s="12">
        <v>194400</v>
      </c>
      <c r="J343" s="12">
        <v>2729197995</v>
      </c>
      <c r="K343" s="12">
        <v>4695.333333333333</v>
      </c>
    </row>
    <row r="344" spans="1:11" x14ac:dyDescent="0.2">
      <c r="A344" s="12" t="s">
        <v>21</v>
      </c>
      <c r="B344" s="12">
        <v>15</v>
      </c>
      <c r="C344" s="12">
        <v>4716</v>
      </c>
      <c r="D344" s="12">
        <v>52586732</v>
      </c>
      <c r="E344" s="12">
        <v>3792.6666666666665</v>
      </c>
      <c r="F344" s="12"/>
      <c r="G344" s="12" t="s">
        <v>21</v>
      </c>
      <c r="H344" s="12">
        <v>370</v>
      </c>
      <c r="I344" s="12">
        <v>128641</v>
      </c>
      <c r="J344" s="12">
        <v>2002896370</v>
      </c>
      <c r="K344" s="12">
        <v>5207</v>
      </c>
    </row>
    <row r="345" spans="1:11" x14ac:dyDescent="0.2">
      <c r="A345" s="12" t="s">
        <v>23</v>
      </c>
      <c r="B345" s="12">
        <v>3</v>
      </c>
      <c r="C345" s="12">
        <v>2064</v>
      </c>
      <c r="D345" s="12">
        <v>12630645</v>
      </c>
      <c r="E345" s="12">
        <v>2075</v>
      </c>
      <c r="F345" s="12"/>
      <c r="G345" s="12" t="s">
        <v>23</v>
      </c>
      <c r="H345" s="12">
        <v>135</v>
      </c>
      <c r="I345" s="12">
        <v>91155</v>
      </c>
      <c r="J345" s="12">
        <v>1584130069</v>
      </c>
      <c r="K345" s="12">
        <v>5781.333333333333</v>
      </c>
    </row>
    <row r="346" spans="1:11" x14ac:dyDescent="0.2">
      <c r="A346" s="12"/>
      <c r="B346" s="12">
        <v>1</v>
      </c>
      <c r="C346" s="12">
        <v>1061</v>
      </c>
      <c r="D346" s="12">
        <v>15208978</v>
      </c>
      <c r="E346" s="12">
        <v>4862.333333333333</v>
      </c>
      <c r="F346" s="12"/>
      <c r="G346" s="12" t="s">
        <v>24</v>
      </c>
      <c r="H346" s="12">
        <v>69</v>
      </c>
      <c r="I346" s="12">
        <v>142366</v>
      </c>
      <c r="J346" s="12">
        <v>2361799300</v>
      </c>
      <c r="K346" s="12">
        <v>5530</v>
      </c>
    </row>
    <row r="349" spans="1:11" x14ac:dyDescent="0.2">
      <c r="A349" s="25" t="s">
        <v>64</v>
      </c>
      <c r="B349" s="26"/>
      <c r="C349" s="26"/>
      <c r="D349" s="26"/>
      <c r="E349" s="26"/>
      <c r="F349" s="26"/>
      <c r="G349" s="26"/>
      <c r="H349" s="26"/>
      <c r="I349" s="26"/>
    </row>
    <row r="351" spans="1:11" x14ac:dyDescent="0.2">
      <c r="B351" s="12"/>
      <c r="C351" s="12"/>
      <c r="D351" s="12"/>
      <c r="E351" s="12"/>
    </row>
    <row r="352" spans="1:11" x14ac:dyDescent="0.2">
      <c r="B352" s="12"/>
      <c r="C352" s="12"/>
      <c r="D352" s="12"/>
      <c r="E352" s="12"/>
    </row>
    <row r="353" spans="2:5" x14ac:dyDescent="0.2">
      <c r="B353" s="12"/>
      <c r="C353" s="12"/>
      <c r="D353" s="12"/>
      <c r="E353" s="12"/>
    </row>
    <row r="354" spans="2:5" x14ac:dyDescent="0.2">
      <c r="B354" s="12"/>
      <c r="C354" s="12"/>
      <c r="D354" s="12"/>
      <c r="E354" s="12"/>
    </row>
    <row r="355" spans="2:5" x14ac:dyDescent="0.2">
      <c r="B355" s="12"/>
      <c r="C355" s="12"/>
      <c r="D355" s="12"/>
      <c r="E355" s="12"/>
    </row>
    <row r="356" spans="2:5" x14ac:dyDescent="0.2">
      <c r="B356" s="12"/>
      <c r="C356" s="12"/>
      <c r="D356" s="12"/>
      <c r="E356" s="12"/>
    </row>
    <row r="357" spans="2:5" x14ac:dyDescent="0.2">
      <c r="B357" s="12"/>
      <c r="C357" s="12"/>
      <c r="D357" s="12"/>
      <c r="E357" s="12"/>
    </row>
    <row r="358" spans="2:5" x14ac:dyDescent="0.2">
      <c r="B358" s="12"/>
      <c r="C358" s="12"/>
      <c r="D358" s="12"/>
      <c r="E358" s="12"/>
    </row>
    <row r="359" spans="2:5" x14ac:dyDescent="0.2">
      <c r="B359" s="12"/>
      <c r="C359" s="12"/>
      <c r="D359" s="12"/>
      <c r="E359" s="12"/>
    </row>
    <row r="360" spans="2:5" x14ac:dyDescent="0.2">
      <c r="B360" s="12"/>
      <c r="C360" s="12"/>
      <c r="D360" s="12"/>
      <c r="E360" s="12"/>
    </row>
    <row r="362" spans="2:5" x14ac:dyDescent="0.2">
      <c r="B362" s="12"/>
      <c r="C362" s="12"/>
      <c r="D362" s="29"/>
      <c r="E362" s="12"/>
    </row>
    <row r="363" spans="2:5" x14ac:dyDescent="0.2">
      <c r="B363" s="12"/>
      <c r="C363" s="12"/>
      <c r="D363" s="12"/>
      <c r="E363" s="12"/>
    </row>
    <row r="364" spans="2:5" x14ac:dyDescent="0.2">
      <c r="B364" s="12"/>
      <c r="C364" s="12"/>
      <c r="D364" s="12"/>
      <c r="E364" s="33"/>
    </row>
    <row r="365" spans="2:5" x14ac:dyDescent="0.2">
      <c r="B365" s="12"/>
      <c r="C365" s="12"/>
      <c r="D365" s="12"/>
      <c r="E365" s="12"/>
    </row>
    <row r="366" spans="2:5" x14ac:dyDescent="0.2">
      <c r="B366" s="12"/>
      <c r="C366" s="12"/>
      <c r="D366" s="12"/>
      <c r="E366" s="12"/>
    </row>
    <row r="367" spans="2:5" x14ac:dyDescent="0.2">
      <c r="B367" s="12"/>
      <c r="C367" s="12"/>
      <c r="D367" s="12"/>
      <c r="E367" s="12"/>
    </row>
    <row r="368" spans="2:5" x14ac:dyDescent="0.2">
      <c r="B368" s="12"/>
      <c r="C368" s="12"/>
      <c r="D368" s="12"/>
      <c r="E368" s="12"/>
    </row>
    <row r="369" spans="2:5" x14ac:dyDescent="0.2">
      <c r="B369" s="12"/>
      <c r="C369" s="12"/>
      <c r="D369" s="12"/>
      <c r="E369" s="12"/>
    </row>
    <row r="370" spans="2:5" x14ac:dyDescent="0.2">
      <c r="B370" s="12"/>
      <c r="C370" s="12"/>
      <c r="D370" s="12"/>
      <c r="E370" s="12"/>
    </row>
    <row r="372" spans="2:5" x14ac:dyDescent="0.2">
      <c r="B372" s="12"/>
      <c r="C372" s="12"/>
      <c r="D372" s="12"/>
      <c r="E372" s="12"/>
    </row>
    <row r="373" spans="2:5" x14ac:dyDescent="0.2">
      <c r="B373" s="12"/>
      <c r="C373" s="12"/>
      <c r="D373" s="12"/>
      <c r="E373" s="12"/>
    </row>
    <row r="374" spans="2:5" x14ac:dyDescent="0.2">
      <c r="B374" s="12"/>
      <c r="C374" s="12"/>
      <c r="D374" s="12"/>
      <c r="E374" s="12"/>
    </row>
    <row r="375" spans="2:5" x14ac:dyDescent="0.2">
      <c r="B375" s="12"/>
      <c r="C375" s="12"/>
      <c r="D375" s="12"/>
      <c r="E375" s="12"/>
    </row>
    <row r="376" spans="2:5" x14ac:dyDescent="0.2">
      <c r="B376" s="12"/>
      <c r="C376" s="12"/>
      <c r="D376" s="12"/>
      <c r="E376" s="12"/>
    </row>
    <row r="377" spans="2:5" x14ac:dyDescent="0.2">
      <c r="B377" s="12"/>
      <c r="C377" s="12"/>
      <c r="D377" s="12"/>
      <c r="E377" s="12"/>
    </row>
    <row r="378" spans="2:5" x14ac:dyDescent="0.2">
      <c r="B378" s="12"/>
      <c r="C378" s="12"/>
      <c r="D378" s="12"/>
      <c r="E378" s="12"/>
    </row>
    <row r="379" spans="2:5" x14ac:dyDescent="0.2">
      <c r="B379" s="12"/>
      <c r="C379" s="12"/>
      <c r="D379" s="12"/>
      <c r="E379" s="12"/>
    </row>
    <row r="380" spans="2:5" x14ac:dyDescent="0.2">
      <c r="B380" s="12"/>
      <c r="C380" s="12"/>
      <c r="D380" s="12"/>
      <c r="E380" s="12"/>
    </row>
    <row r="385" spans="11:11" x14ac:dyDescent="0.2">
      <c r="K385" s="21"/>
    </row>
    <row r="461" spans="5:5" x14ac:dyDescent="0.2">
      <c r="E461" s="21"/>
    </row>
    <row r="482" spans="5:5" x14ac:dyDescent="0.2">
      <c r="E482" s="21"/>
    </row>
    <row r="581" spans="11:11" x14ac:dyDescent="0.2">
      <c r="K581" s="22"/>
    </row>
    <row r="657" spans="11:11" x14ac:dyDescent="0.2">
      <c r="K657" s="21"/>
    </row>
    <row r="709" spans="5:5" x14ac:dyDescent="0.2">
      <c r="E709" s="21"/>
    </row>
    <row r="731" spans="5:11" x14ac:dyDescent="0.2">
      <c r="E731" s="21"/>
      <c r="K731" s="21"/>
    </row>
    <row r="760" spans="5:5" x14ac:dyDescent="0.2">
      <c r="E760" s="21"/>
    </row>
    <row r="782" spans="5:11" x14ac:dyDescent="0.2">
      <c r="E782" s="21"/>
      <c r="K782" s="21"/>
    </row>
  </sheetData>
  <mergeCells count="51">
    <mergeCell ref="A206:E206"/>
    <mergeCell ref="G206:K206"/>
    <mergeCell ref="A306:E306"/>
    <mergeCell ref="A154:K154"/>
    <mergeCell ref="A203:K203"/>
    <mergeCell ref="G178:K178"/>
    <mergeCell ref="A29:E29"/>
    <mergeCell ref="G29:K29"/>
    <mergeCell ref="A59:E59"/>
    <mergeCell ref="G59:K59"/>
    <mergeCell ref="D54:H54"/>
    <mergeCell ref="A50:I50"/>
    <mergeCell ref="A56:K56"/>
    <mergeCell ref="D103:H103"/>
    <mergeCell ref="D153:H153"/>
    <mergeCell ref="A107:E107"/>
    <mergeCell ref="A148:I148"/>
    <mergeCell ref="A157:E157"/>
    <mergeCell ref="G157:K157"/>
    <mergeCell ref="A7:E7"/>
    <mergeCell ref="A101:I101"/>
    <mergeCell ref="A100:I100"/>
    <mergeCell ref="A328:E328"/>
    <mergeCell ref="G328:K328"/>
    <mergeCell ref="A227:E227"/>
    <mergeCell ref="G227:K227"/>
    <mergeCell ref="A255:E255"/>
    <mergeCell ref="G255:K255"/>
    <mergeCell ref="A277:E277"/>
    <mergeCell ref="G277:K277"/>
    <mergeCell ref="A252:K252"/>
    <mergeCell ref="A303:K303"/>
    <mergeCell ref="A253:K253"/>
    <mergeCell ref="A204:K204"/>
    <mergeCell ref="A104:K104"/>
    <mergeCell ref="G7:K7"/>
    <mergeCell ref="A304:K304"/>
    <mergeCell ref="G306:K306"/>
    <mergeCell ref="A4:K4"/>
    <mergeCell ref="A5:K5"/>
    <mergeCell ref="A178:E178"/>
    <mergeCell ref="A57:K57"/>
    <mergeCell ref="A105:K105"/>
    <mergeCell ref="A106:K106"/>
    <mergeCell ref="A155:K155"/>
    <mergeCell ref="A156:K156"/>
    <mergeCell ref="A80:E80"/>
    <mergeCell ref="G80:K80"/>
    <mergeCell ref="G107:K107"/>
    <mergeCell ref="A128:E128"/>
    <mergeCell ref="G128:K128"/>
  </mergeCells>
  <phoneticPr fontId="0" type="noConversion"/>
  <pageMargins left="0.75" right="0.75" top="0.55000000000000004" bottom="0.49" header="0.5" footer="0.5"/>
  <pageSetup scale="80" fitToWidth="7" orientation="landscape" r:id="rId1"/>
  <headerFooter alignWithMargins="0"/>
  <rowBreaks count="6" manualBreakCount="6">
    <brk id="52" max="16383" man="1"/>
    <brk id="100" max="16383" man="1"/>
    <brk id="149" max="16383" man="1"/>
    <brk id="198" max="16383" man="1"/>
    <brk id="247" max="16383" man="1"/>
    <brk id="29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TABLE5</vt:lpstr>
      <vt:lpstr>Chart1</vt:lpstr>
      <vt:lpstr>TABLE5!Print_Area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Schroeder</dc:creator>
  <cp:lastModifiedBy>Alyssia Minaya</cp:lastModifiedBy>
  <cp:lastPrinted>2018-12-21T18:42:59Z</cp:lastPrinted>
  <dcterms:created xsi:type="dcterms:W3CDTF">2002-12-20T22:52:14Z</dcterms:created>
  <dcterms:modified xsi:type="dcterms:W3CDTF">2022-12-13T15:10:52Z</dcterms:modified>
</cp:coreProperties>
</file>