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7F8BCC01-9F11-4CF3-B0CB-FFD33D2A8276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Form15" sheetId="13" r:id="rId1"/>
  </sheets>
  <calcPr calcId="191029"/>
</workbook>
</file>

<file path=xl/calcChain.xml><?xml version="1.0" encoding="utf-8"?>
<calcChain xmlns="http://schemas.openxmlformats.org/spreadsheetml/2006/main">
  <c r="L42" i="13" l="1"/>
  <c r="K42" i="13"/>
  <c r="J42" i="13"/>
  <c r="I42" i="13"/>
  <c r="H42" i="13"/>
  <c r="F42" i="13"/>
  <c r="K41" i="13"/>
  <c r="I41" i="13"/>
  <c r="F41" i="13"/>
  <c r="L40" i="13"/>
  <c r="K40" i="13"/>
  <c r="J40" i="13"/>
  <c r="I40" i="13"/>
  <c r="H40" i="13"/>
  <c r="F40" i="13"/>
  <c r="K39" i="13"/>
  <c r="J39" i="13"/>
  <c r="I39" i="13"/>
  <c r="H39" i="13"/>
  <c r="F39" i="13"/>
  <c r="L37" i="13"/>
  <c r="K37" i="13"/>
  <c r="J37" i="13"/>
  <c r="I37" i="13"/>
  <c r="H37" i="13"/>
  <c r="F37" i="13"/>
  <c r="K36" i="13"/>
  <c r="J36" i="13"/>
  <c r="I36" i="13"/>
  <c r="H36" i="13"/>
  <c r="F36" i="13"/>
  <c r="L35" i="13"/>
  <c r="K35" i="13"/>
  <c r="J35" i="13"/>
  <c r="I35" i="13"/>
  <c r="H35" i="13"/>
  <c r="F35" i="13"/>
  <c r="L34" i="13"/>
  <c r="K34" i="13"/>
  <c r="J34" i="13"/>
  <c r="I34" i="13"/>
  <c r="H34" i="13"/>
  <c r="F34" i="13"/>
  <c r="L33" i="13"/>
  <c r="K33" i="13"/>
  <c r="J33" i="13"/>
  <c r="I33" i="13"/>
  <c r="H33" i="13"/>
  <c r="F33" i="13"/>
  <c r="K31" i="13"/>
  <c r="J31" i="13"/>
  <c r="I31" i="13"/>
  <c r="H31" i="13"/>
  <c r="F31" i="13"/>
  <c r="K30" i="13"/>
  <c r="J30" i="13"/>
  <c r="I30" i="13"/>
  <c r="H30" i="13"/>
  <c r="F30" i="13"/>
  <c r="L29" i="13"/>
  <c r="K29" i="13"/>
  <c r="J29" i="13"/>
  <c r="I29" i="13"/>
  <c r="H29" i="13"/>
  <c r="F29" i="13"/>
  <c r="K28" i="13"/>
  <c r="J28" i="13"/>
  <c r="I28" i="13"/>
  <c r="H28" i="13"/>
  <c r="F28" i="13"/>
  <c r="K27" i="13"/>
  <c r="I27" i="13"/>
  <c r="F27" i="13"/>
  <c r="L25" i="13"/>
  <c r="K25" i="13"/>
  <c r="J25" i="13"/>
  <c r="I25" i="13"/>
  <c r="H25" i="13"/>
  <c r="F25" i="13"/>
  <c r="K24" i="13"/>
  <c r="J24" i="13"/>
  <c r="I24" i="13"/>
  <c r="H24" i="13"/>
  <c r="F24" i="13"/>
  <c r="K23" i="13"/>
  <c r="I23" i="13"/>
  <c r="H23" i="13"/>
  <c r="F23" i="13"/>
  <c r="K22" i="13"/>
  <c r="J22" i="13"/>
  <c r="I22" i="13"/>
  <c r="H22" i="13"/>
  <c r="F22" i="13"/>
  <c r="L21" i="13"/>
  <c r="K21" i="13"/>
  <c r="J21" i="13"/>
  <c r="I21" i="13"/>
  <c r="H21" i="13"/>
  <c r="F21" i="13"/>
  <c r="K19" i="13"/>
  <c r="J19" i="13"/>
  <c r="I19" i="13"/>
  <c r="H19" i="13"/>
  <c r="F19" i="13"/>
  <c r="K18" i="13"/>
  <c r="J18" i="13"/>
  <c r="I18" i="13"/>
  <c r="H18" i="13"/>
  <c r="F18" i="13"/>
  <c r="J17" i="13"/>
  <c r="I17" i="13"/>
  <c r="H17" i="13"/>
  <c r="F17" i="13"/>
  <c r="K16" i="13"/>
  <c r="J16" i="13"/>
  <c r="I16" i="13"/>
  <c r="H16" i="13"/>
  <c r="F16" i="13"/>
  <c r="L15" i="13"/>
  <c r="K15" i="13"/>
  <c r="J15" i="13"/>
  <c r="I15" i="13"/>
  <c r="H15" i="13"/>
  <c r="F15" i="13"/>
  <c r="F13" i="13"/>
  <c r="K12" i="13"/>
  <c r="J12" i="13"/>
  <c r="I12" i="13"/>
  <c r="H12" i="13"/>
  <c r="F12" i="13"/>
  <c r="K11" i="13"/>
  <c r="J11" i="13"/>
  <c r="I11" i="13"/>
  <c r="H11" i="13"/>
  <c r="F11" i="13"/>
  <c r="K10" i="13"/>
  <c r="J10" i="13"/>
  <c r="I10" i="13"/>
  <c r="H10" i="13"/>
  <c r="F10" i="13"/>
  <c r="K9" i="13"/>
  <c r="I9" i="13"/>
  <c r="H9" i="13"/>
  <c r="F9" i="13"/>
</calcChain>
</file>

<file path=xl/sharedStrings.xml><?xml version="1.0" encoding="utf-8"?>
<sst xmlns="http://schemas.openxmlformats.org/spreadsheetml/2006/main" count="148" uniqueCount="48">
  <si>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</si>
  <si>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</si>
  <si>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</si>
  <si>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</si>
  <si>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</si>
  <si>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</si>
  <si>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</si>
  <si>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</si>
  <si>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</si>
  <si>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</si>
  <si>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</si>
  <si>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</si>
  <si>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</si>
  <si>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</si>
  <si>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</si>
  <si>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</si>
  <si>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</si>
  <si>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</si>
  <si>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</si>
  <si>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</si>
  <si>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</si>
  <si>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</si>
  <si>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</si>
  <si>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</si>
  <si>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</si>
  <si>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</si>
  <si>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</si>
  <si>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</si>
  <si>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</si>
  <si>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</si>
  <si>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</si>
  <si>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</si>
  <si>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</si>
  <si>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</si>
  <si>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</si>
  <si>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</si>
  <si>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</si>
  <si>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</si>
  <si>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</si>
  <si>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</si>
  <si>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</si>
  <si>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</si>
  <si>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</si>
  <si>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TABLE 15.  FIRST QUARTER ESTABLISHMENTS</t>
  </si>
  <si>
    <t>D\ Not shown to avoid disclosure of individual firm data, therefore, will not add to County or Industry totals.</t>
  </si>
  <si>
    <t>D</t>
  </si>
  <si>
    <t>IN UTAH, BY COUNTY AND NAICS SECTOR, 2021</t>
  </si>
  <si>
    <t>SOURCE:  Utah Department of Workforce Services, Workforce Research and Analysis, Annual Report of Labor Market Information,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</si>
</sst>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3" fillId="2" borderId="0" xfId="0" applyFont="1" applyFill="1"/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3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5" fillId="0" borderId="0" xfId="0" applyNumberFormat="1" applyFont="1" applyBorder="1"/>
    <xf numFmtId="3" fontId="6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6"/>
  <sheetViews>
    <sheetView tabSelected="1" workbookViewId="0">
      <selection activeCell="L14" sqref="L14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7109375" bestFit="1" customWidth="1"/>
    <col min="5" max="5" width="14.140625" bestFit="1" customWidth="1"/>
    <col min="6" max="6" width="14.85546875" bestFit="1" customWidth="1"/>
    <col min="7" max="8" width="11.7109375" customWidth="1"/>
    <col min="9" max="9" width="13.28515625" bestFit="1" customWidth="1"/>
    <col min="10" max="10" width="15.28515625" bestFit="1" customWidth="1"/>
    <col min="11" max="12" width="11.7109375" customWidth="1"/>
    <col min="13" max="13" width="12.140625" bestFit="1" customWidth="1"/>
  </cols>
  <sheetData>
    <row r="2" spans="1:13" x14ac:dyDescent="0.2">
      <c r="A2" s="5"/>
      <c r="B2" s="5"/>
      <c r="C2" s="5"/>
      <c r="D2" s="16" t="s">
        <v>43</v>
      </c>
      <c r="E2" s="16"/>
      <c r="F2" s="16"/>
      <c r="G2" s="16"/>
      <c r="H2" s="16"/>
      <c r="I2" s="16"/>
      <c r="J2" s="16"/>
      <c r="K2" s="5"/>
      <c r="L2" s="5"/>
      <c r="M2" s="5"/>
    </row>
    <row r="3" spans="1:13" x14ac:dyDescent="0.2">
      <c r="A3" s="5"/>
      <c r="B3" s="5"/>
      <c r="C3" s="5"/>
      <c r="D3" s="16" t="s">
        <v>46</v>
      </c>
      <c r="E3" s="16"/>
      <c r="F3" s="16"/>
      <c r="G3" s="16"/>
      <c r="H3" s="16"/>
      <c r="I3" s="16"/>
      <c r="J3" s="16"/>
      <c r="K3" s="5"/>
      <c r="L3" s="5"/>
      <c r="M3" s="5"/>
    </row>
    <row r="4" spans="1:13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39" thickBot="1" x14ac:dyDescent="0.25">
      <c r="A5" s="7" t="s">
        <v>40</v>
      </c>
      <c r="B5" s="7" t="s">
        <v>41</v>
      </c>
      <c r="C5" s="7" t="s">
        <v>32</v>
      </c>
      <c r="D5" s="7" t="s">
        <v>1</v>
      </c>
      <c r="E5" s="7" t="s">
        <v>2</v>
      </c>
      <c r="F5" s="7" t="s">
        <v>33</v>
      </c>
      <c r="G5" s="7" t="s">
        <v>3</v>
      </c>
      <c r="H5" s="7" t="s">
        <v>34</v>
      </c>
      <c r="I5" s="7" t="s">
        <v>35</v>
      </c>
      <c r="J5" s="7" t="s">
        <v>36</v>
      </c>
      <c r="K5" s="7" t="s">
        <v>37</v>
      </c>
      <c r="L5" s="7" t="s">
        <v>38</v>
      </c>
      <c r="M5" s="7" t="s">
        <v>42</v>
      </c>
    </row>
    <row r="6" spans="1:13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2" t="s">
        <v>39</v>
      </c>
      <c r="B7" s="11">
        <v>115468</v>
      </c>
      <c r="C7" s="14">
        <v>527</v>
      </c>
      <c r="D7" s="14">
        <v>13304</v>
      </c>
      <c r="E7" s="14">
        <v>4758</v>
      </c>
      <c r="F7" s="14">
        <v>20645</v>
      </c>
      <c r="G7" s="14">
        <v>3622</v>
      </c>
      <c r="H7" s="14">
        <v>13163</v>
      </c>
      <c r="I7" s="14">
        <v>27198</v>
      </c>
      <c r="J7" s="14">
        <v>13967</v>
      </c>
      <c r="K7" s="14">
        <v>7825</v>
      </c>
      <c r="L7" s="14">
        <v>6182</v>
      </c>
      <c r="M7" s="14">
        <v>4277</v>
      </c>
    </row>
    <row r="8" spans="1:13" x14ac:dyDescent="0.2"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">
      <c r="A9" s="17" t="s">
        <v>0</v>
      </c>
      <c r="B9" s="13">
        <v>244</v>
      </c>
      <c r="C9" s="15" t="s">
        <v>45</v>
      </c>
      <c r="D9" s="15">
        <v>27</v>
      </c>
      <c r="E9" s="15" t="s">
        <v>45</v>
      </c>
      <c r="F9" s="15">
        <f>5+33+4+12</f>
        <v>54</v>
      </c>
      <c r="G9" s="15">
        <v>0</v>
      </c>
      <c r="H9" s="15">
        <f>7+4</f>
        <v>11</v>
      </c>
      <c r="I9" s="15">
        <f>10+1+9</f>
        <v>20</v>
      </c>
      <c r="J9" s="15">
        <v>20</v>
      </c>
      <c r="K9" s="15">
        <f>4+30</f>
        <v>34</v>
      </c>
      <c r="L9" s="15">
        <v>12</v>
      </c>
      <c r="M9" s="15">
        <v>53</v>
      </c>
    </row>
    <row r="10" spans="1:13" x14ac:dyDescent="0.2">
      <c r="A10" s="17" t="s">
        <v>4</v>
      </c>
      <c r="B10" s="13">
        <v>1500</v>
      </c>
      <c r="C10" s="15">
        <v>7</v>
      </c>
      <c r="D10" s="15">
        <v>218</v>
      </c>
      <c r="E10" s="15">
        <v>99</v>
      </c>
      <c r="F10" s="15">
        <f>7+215+123</f>
        <v>345</v>
      </c>
      <c r="G10" s="15">
        <v>15</v>
      </c>
      <c r="H10" s="15">
        <f>71+58</f>
        <v>129</v>
      </c>
      <c r="I10" s="15">
        <f>105+2+45</f>
        <v>152</v>
      </c>
      <c r="J10" s="15">
        <f>13+184</f>
        <v>197</v>
      </c>
      <c r="K10" s="15">
        <f>16+78</f>
        <v>94</v>
      </c>
      <c r="L10" s="15">
        <v>89</v>
      </c>
      <c r="M10" s="15">
        <v>155</v>
      </c>
    </row>
    <row r="11" spans="1:13" x14ac:dyDescent="0.2">
      <c r="A11" s="17" t="s">
        <v>5</v>
      </c>
      <c r="B11" s="13">
        <v>3973</v>
      </c>
      <c r="C11" s="15">
        <v>8</v>
      </c>
      <c r="D11" s="15">
        <v>573</v>
      </c>
      <c r="E11" s="15">
        <v>257</v>
      </c>
      <c r="F11" s="15">
        <f>10+608+90</f>
        <v>708</v>
      </c>
      <c r="G11" s="15">
        <v>62</v>
      </c>
      <c r="H11" s="15">
        <f>215+210</f>
        <v>425</v>
      </c>
      <c r="I11" s="15">
        <f>531+31+179</f>
        <v>741</v>
      </c>
      <c r="J11" s="15">
        <f>55+500</f>
        <v>555</v>
      </c>
      <c r="K11" s="15">
        <f>60+189</f>
        <v>249</v>
      </c>
      <c r="L11" s="15">
        <v>213</v>
      </c>
      <c r="M11" s="15">
        <v>182</v>
      </c>
    </row>
    <row r="12" spans="1:13" x14ac:dyDescent="0.2">
      <c r="A12" s="17" t="s">
        <v>6</v>
      </c>
      <c r="B12" s="13">
        <v>633</v>
      </c>
      <c r="C12" s="15">
        <v>15</v>
      </c>
      <c r="D12" s="15">
        <v>48</v>
      </c>
      <c r="E12" s="15">
        <v>25</v>
      </c>
      <c r="F12" s="15">
        <f>105+24+5</f>
        <v>134</v>
      </c>
      <c r="G12" s="15">
        <v>7</v>
      </c>
      <c r="H12" s="15">
        <f>32+17</f>
        <v>49</v>
      </c>
      <c r="I12" s="15">
        <f>30+2+23</f>
        <v>55</v>
      </c>
      <c r="J12" s="15">
        <f>2+92</f>
        <v>94</v>
      </c>
      <c r="K12" s="15">
        <f>7+45</f>
        <v>52</v>
      </c>
      <c r="L12" s="15">
        <v>42</v>
      </c>
      <c r="M12" s="15">
        <v>112</v>
      </c>
    </row>
    <row r="13" spans="1:13" x14ac:dyDescent="0.2">
      <c r="A13" s="17" t="s">
        <v>7</v>
      </c>
      <c r="B13" s="13">
        <v>50</v>
      </c>
      <c r="C13" s="15">
        <v>0</v>
      </c>
      <c r="D13" s="15" t="s">
        <v>45</v>
      </c>
      <c r="E13" s="15">
        <v>0</v>
      </c>
      <c r="F13" s="15">
        <f>3+3</f>
        <v>6</v>
      </c>
      <c r="G13" s="15">
        <v>0</v>
      </c>
      <c r="H13" s="15" t="s">
        <v>45</v>
      </c>
      <c r="I13" s="15">
        <v>3</v>
      </c>
      <c r="J13" s="15" t="s">
        <v>45</v>
      </c>
      <c r="K13" s="15">
        <v>9</v>
      </c>
      <c r="L13" s="15" t="s">
        <v>45</v>
      </c>
      <c r="M13" s="15">
        <v>23</v>
      </c>
    </row>
    <row r="14" spans="1:13" x14ac:dyDescent="0.2">
      <c r="A14" s="17"/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">
      <c r="A15" s="17" t="s">
        <v>8</v>
      </c>
      <c r="B15" s="13">
        <v>9369</v>
      </c>
      <c r="C15" s="15">
        <v>11</v>
      </c>
      <c r="D15" s="15">
        <v>1147</v>
      </c>
      <c r="E15" s="15">
        <v>336</v>
      </c>
      <c r="F15" s="15">
        <f>1342+10+261</f>
        <v>1613</v>
      </c>
      <c r="G15" s="15">
        <v>204</v>
      </c>
      <c r="H15" s="15">
        <f>585+539</f>
        <v>1124</v>
      </c>
      <c r="I15" s="15">
        <f>1503+86+527</f>
        <v>2116</v>
      </c>
      <c r="J15" s="15">
        <f>170+1178</f>
        <v>1348</v>
      </c>
      <c r="K15" s="15">
        <f>124+486</f>
        <v>610</v>
      </c>
      <c r="L15" s="15">
        <f>541+2</f>
        <v>543</v>
      </c>
      <c r="M15" s="15">
        <v>317</v>
      </c>
    </row>
    <row r="16" spans="1:13" x14ac:dyDescent="0.2">
      <c r="A16" s="17" t="s">
        <v>9</v>
      </c>
      <c r="B16" s="13">
        <v>799</v>
      </c>
      <c r="C16" s="15">
        <v>110</v>
      </c>
      <c r="D16" s="15">
        <v>82</v>
      </c>
      <c r="E16" s="15">
        <v>22</v>
      </c>
      <c r="F16" s="15">
        <f>12+98+85</f>
        <v>195</v>
      </c>
      <c r="G16" s="15">
        <v>6</v>
      </c>
      <c r="H16" s="15">
        <f>25+27</f>
        <v>52</v>
      </c>
      <c r="I16" s="15">
        <f>46+3+32</f>
        <v>81</v>
      </c>
      <c r="J16" s="15">
        <f>2+62</f>
        <v>64</v>
      </c>
      <c r="K16" s="15">
        <f>3+42</f>
        <v>45</v>
      </c>
      <c r="L16" s="15">
        <v>48</v>
      </c>
      <c r="M16" s="15">
        <v>94</v>
      </c>
    </row>
    <row r="17" spans="1:13" x14ac:dyDescent="0.2">
      <c r="A17" s="17" t="s">
        <v>10</v>
      </c>
      <c r="B17" s="13">
        <v>266</v>
      </c>
      <c r="C17" s="15">
        <v>6</v>
      </c>
      <c r="D17" s="15">
        <v>19</v>
      </c>
      <c r="E17" s="15" t="s">
        <v>45</v>
      </c>
      <c r="F17" s="15">
        <f>9+43+7</f>
        <v>59</v>
      </c>
      <c r="G17" s="15" t="s">
        <v>45</v>
      </c>
      <c r="H17" s="15">
        <f>9+2</f>
        <v>11</v>
      </c>
      <c r="I17" s="15">
        <f>11+1+6</f>
        <v>18</v>
      </c>
      <c r="J17" s="15">
        <f>1+22</f>
        <v>23</v>
      </c>
      <c r="K17" s="15">
        <v>28</v>
      </c>
      <c r="L17" s="15">
        <v>16</v>
      </c>
      <c r="M17" s="15">
        <v>79</v>
      </c>
    </row>
    <row r="18" spans="1:13" x14ac:dyDescent="0.2">
      <c r="A18" s="17" t="s">
        <v>11</v>
      </c>
      <c r="B18" s="13">
        <v>265</v>
      </c>
      <c r="C18" s="15" t="s">
        <v>45</v>
      </c>
      <c r="D18" s="15">
        <v>12</v>
      </c>
      <c r="E18" s="15" t="s">
        <v>45</v>
      </c>
      <c r="F18" s="15">
        <f>33+4+6</f>
        <v>43</v>
      </c>
      <c r="G18" s="15">
        <v>8</v>
      </c>
      <c r="H18" s="15">
        <f>7+6</f>
        <v>13</v>
      </c>
      <c r="I18" s="15">
        <f>9+8</f>
        <v>17</v>
      </c>
      <c r="J18" s="15">
        <f>1+20</f>
        <v>21</v>
      </c>
      <c r="K18" s="15">
        <f>4+69</f>
        <v>73</v>
      </c>
      <c r="L18" s="15">
        <v>7</v>
      </c>
      <c r="M18" s="15">
        <v>64</v>
      </c>
    </row>
    <row r="19" spans="1:13" x14ac:dyDescent="0.2">
      <c r="A19" s="17" t="s">
        <v>12</v>
      </c>
      <c r="B19" s="13">
        <v>628</v>
      </c>
      <c r="C19" s="15">
        <v>7</v>
      </c>
      <c r="D19" s="15">
        <v>67</v>
      </c>
      <c r="E19" s="15">
        <v>10</v>
      </c>
      <c r="F19" s="15">
        <f>102+22+4</f>
        <v>128</v>
      </c>
      <c r="G19" s="15">
        <v>11</v>
      </c>
      <c r="H19" s="15">
        <f>13+43</f>
        <v>56</v>
      </c>
      <c r="I19" s="15">
        <f>49+2+26</f>
        <v>77</v>
      </c>
      <c r="J19" s="15">
        <f>8+33</f>
        <v>41</v>
      </c>
      <c r="K19" s="15">
        <f>32+105</f>
        <v>137</v>
      </c>
      <c r="L19" s="15">
        <v>24</v>
      </c>
      <c r="M19" s="15">
        <v>70</v>
      </c>
    </row>
    <row r="20" spans="1:13" x14ac:dyDescent="0.2">
      <c r="A20" s="17"/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">
      <c r="A21" s="17" t="s">
        <v>13</v>
      </c>
      <c r="B21" s="13">
        <v>1891</v>
      </c>
      <c r="C21" s="15">
        <v>8</v>
      </c>
      <c r="D21" s="15">
        <v>311</v>
      </c>
      <c r="E21" s="15">
        <v>97</v>
      </c>
      <c r="F21" s="15">
        <f>12+272+76</f>
        <v>360</v>
      </c>
      <c r="G21" s="15">
        <v>18</v>
      </c>
      <c r="H21" s="15">
        <f>76+121</f>
        <v>197</v>
      </c>
      <c r="I21" s="15">
        <f>197+17+89</f>
        <v>303</v>
      </c>
      <c r="J21" s="15">
        <f>21+188</f>
        <v>209</v>
      </c>
      <c r="K21" s="15">
        <f>25+142</f>
        <v>167</v>
      </c>
      <c r="L21" s="15">
        <f>88+2</f>
        <v>90</v>
      </c>
      <c r="M21" s="15">
        <v>131</v>
      </c>
    </row>
    <row r="22" spans="1:13" x14ac:dyDescent="0.2">
      <c r="A22" s="17" t="s">
        <v>14</v>
      </c>
      <c r="B22" s="13">
        <v>327</v>
      </c>
      <c r="C22" s="15">
        <v>4</v>
      </c>
      <c r="D22" s="15">
        <v>58</v>
      </c>
      <c r="E22" s="15">
        <v>20</v>
      </c>
      <c r="F22" s="15">
        <f>1+37+13</f>
        <v>51</v>
      </c>
      <c r="G22" s="15">
        <v>3</v>
      </c>
      <c r="H22" s="15">
        <f>10+7</f>
        <v>17</v>
      </c>
      <c r="I22" s="15">
        <f>20+1+12</f>
        <v>33</v>
      </c>
      <c r="J22" s="15">
        <f>2+34</f>
        <v>36</v>
      </c>
      <c r="K22" s="15">
        <f>4+27</f>
        <v>31</v>
      </c>
      <c r="L22" s="15">
        <v>16</v>
      </c>
      <c r="M22" s="15">
        <v>58</v>
      </c>
    </row>
    <row r="23" spans="1:13" x14ac:dyDescent="0.2">
      <c r="A23" s="17" t="s">
        <v>15</v>
      </c>
      <c r="B23" s="13">
        <v>366</v>
      </c>
      <c r="C23" s="15" t="s">
        <v>45</v>
      </c>
      <c r="D23" s="15">
        <v>53</v>
      </c>
      <c r="E23" s="15">
        <v>6</v>
      </c>
      <c r="F23" s="15">
        <f>1+48+13</f>
        <v>62</v>
      </c>
      <c r="G23" s="15">
        <v>7</v>
      </c>
      <c r="H23" s="15">
        <f>16+20</f>
        <v>36</v>
      </c>
      <c r="I23" s="15">
        <f>17+2+18</f>
        <v>37</v>
      </c>
      <c r="J23" s="15">
        <v>17</v>
      </c>
      <c r="K23" s="15">
        <f>16+59</f>
        <v>75</v>
      </c>
      <c r="L23" s="15">
        <v>21</v>
      </c>
      <c r="M23" s="15">
        <v>50</v>
      </c>
    </row>
    <row r="24" spans="1:13" x14ac:dyDescent="0.2">
      <c r="A24" s="17" t="s">
        <v>16</v>
      </c>
      <c r="B24" s="13">
        <v>381</v>
      </c>
      <c r="C24" s="15">
        <v>3</v>
      </c>
      <c r="D24" s="15">
        <v>39</v>
      </c>
      <c r="E24" s="15">
        <v>12</v>
      </c>
      <c r="F24" s="15">
        <f>6+74+20</f>
        <v>100</v>
      </c>
      <c r="G24" s="15">
        <v>5</v>
      </c>
      <c r="H24" s="15">
        <f>15+4</f>
        <v>19</v>
      </c>
      <c r="I24" s="15">
        <f>18+1+14</f>
        <v>33</v>
      </c>
      <c r="J24" s="15">
        <f>1+42</f>
        <v>43</v>
      </c>
      <c r="K24" s="15">
        <f>5+26</f>
        <v>31</v>
      </c>
      <c r="L24" s="15">
        <v>17</v>
      </c>
      <c r="M24" s="15">
        <v>79</v>
      </c>
    </row>
    <row r="25" spans="1:13" x14ac:dyDescent="0.2">
      <c r="A25" s="17" t="s">
        <v>17</v>
      </c>
      <c r="B25" s="13">
        <v>412</v>
      </c>
      <c r="C25" s="15">
        <v>3</v>
      </c>
      <c r="D25" s="15">
        <v>99</v>
      </c>
      <c r="E25" s="15">
        <v>23</v>
      </c>
      <c r="F25" s="15">
        <f>5+48+4</f>
        <v>57</v>
      </c>
      <c r="G25" s="15">
        <v>5</v>
      </c>
      <c r="H25" s="15">
        <f>13+16</f>
        <v>29</v>
      </c>
      <c r="I25" s="15">
        <f>62+2+27</f>
        <v>91</v>
      </c>
      <c r="J25" s="15">
        <f>6+37</f>
        <v>43</v>
      </c>
      <c r="K25" s="15">
        <f>7+10</f>
        <v>17</v>
      </c>
      <c r="L25" s="15">
        <f>15+1</f>
        <v>16</v>
      </c>
      <c r="M25" s="15">
        <v>29</v>
      </c>
    </row>
    <row r="26" spans="1:13" x14ac:dyDescent="0.2">
      <c r="A26" s="17"/>
      <c r="B26" s="1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">
      <c r="A27" s="17" t="s">
        <v>18</v>
      </c>
      <c r="B27" s="13">
        <v>52</v>
      </c>
      <c r="C27" s="15" t="s">
        <v>45</v>
      </c>
      <c r="D27" s="15" t="s">
        <v>45</v>
      </c>
      <c r="E27" s="15" t="s">
        <v>45</v>
      </c>
      <c r="F27" s="15">
        <f>5+5</f>
        <v>10</v>
      </c>
      <c r="G27" s="15">
        <v>0</v>
      </c>
      <c r="H27" s="15" t="s">
        <v>45</v>
      </c>
      <c r="I27" s="15">
        <f>2+1</f>
        <v>3</v>
      </c>
      <c r="J27" s="15" t="s">
        <v>45</v>
      </c>
      <c r="K27" s="15">
        <f>1+3</f>
        <v>4</v>
      </c>
      <c r="L27" s="15" t="s">
        <v>45</v>
      </c>
      <c r="M27" s="15">
        <v>23</v>
      </c>
    </row>
    <row r="28" spans="1:13" x14ac:dyDescent="0.2">
      <c r="A28" s="17" t="s">
        <v>19</v>
      </c>
      <c r="B28" s="13">
        <v>135</v>
      </c>
      <c r="C28" s="15" t="s">
        <v>45</v>
      </c>
      <c r="D28" s="15">
        <v>14</v>
      </c>
      <c r="E28" s="15" t="s">
        <v>45</v>
      </c>
      <c r="F28" s="15">
        <f>3+11+6</f>
        <v>20</v>
      </c>
      <c r="G28" s="15" t="s">
        <v>45</v>
      </c>
      <c r="H28" s="15">
        <f>2+9</f>
        <v>11</v>
      </c>
      <c r="I28" s="15">
        <f>5+1+10</f>
        <v>16</v>
      </c>
      <c r="J28" s="15">
        <f>3+3</f>
        <v>6</v>
      </c>
      <c r="K28" s="15">
        <f>4+19</f>
        <v>23</v>
      </c>
      <c r="L28" s="15">
        <v>7</v>
      </c>
      <c r="M28" s="15">
        <v>33</v>
      </c>
    </row>
    <row r="29" spans="1:13" x14ac:dyDescent="0.2">
      <c r="A29" s="17" t="s">
        <v>20</v>
      </c>
      <c r="B29" s="13">
        <v>52577</v>
      </c>
      <c r="C29" s="15">
        <v>102</v>
      </c>
      <c r="D29" s="15">
        <v>4726</v>
      </c>
      <c r="E29" s="15">
        <v>2208</v>
      </c>
      <c r="F29" s="15">
        <f>70+8202+1197</f>
        <v>9469</v>
      </c>
      <c r="G29" s="15">
        <v>2107</v>
      </c>
      <c r="H29" s="15">
        <f>3524+2851</f>
        <v>6375</v>
      </c>
      <c r="I29" s="15">
        <f>10517+515+3669</f>
        <v>14701</v>
      </c>
      <c r="J29" s="15">
        <f>991+4951</f>
        <v>5942</v>
      </c>
      <c r="K29" s="15">
        <f>566+2544</f>
        <v>3110</v>
      </c>
      <c r="L29" s="15">
        <f>2802+76+1</f>
        <v>2879</v>
      </c>
      <c r="M29" s="15">
        <v>958</v>
      </c>
    </row>
    <row r="30" spans="1:13" x14ac:dyDescent="0.2">
      <c r="A30" s="17" t="s">
        <v>21</v>
      </c>
      <c r="B30" s="13">
        <v>332</v>
      </c>
      <c r="C30" s="15">
        <v>12</v>
      </c>
      <c r="D30" s="15">
        <v>29</v>
      </c>
      <c r="E30" s="15" t="s">
        <v>45</v>
      </c>
      <c r="F30" s="15">
        <f>2+36+11</f>
        <v>49</v>
      </c>
      <c r="G30" s="15" t="s">
        <v>45</v>
      </c>
      <c r="H30" s="15">
        <f>12+5</f>
        <v>17</v>
      </c>
      <c r="I30" s="15">
        <f>14+1+11</f>
        <v>26</v>
      </c>
      <c r="J30" s="15">
        <f>3+34</f>
        <v>37</v>
      </c>
      <c r="K30" s="15">
        <f>5+41</f>
        <v>46</v>
      </c>
      <c r="L30" s="15">
        <v>17</v>
      </c>
      <c r="M30" s="15">
        <v>92</v>
      </c>
    </row>
    <row r="31" spans="1:13" x14ac:dyDescent="0.2">
      <c r="A31" s="17" t="s">
        <v>22</v>
      </c>
      <c r="B31" s="13">
        <v>645</v>
      </c>
      <c r="C31" s="15">
        <v>7</v>
      </c>
      <c r="D31" s="15">
        <v>93</v>
      </c>
      <c r="E31" s="15">
        <v>38</v>
      </c>
      <c r="F31" s="15">
        <f>3+80+24</f>
        <v>107</v>
      </c>
      <c r="G31" s="15">
        <v>11</v>
      </c>
      <c r="H31" s="15">
        <f>30+18</f>
        <v>48</v>
      </c>
      <c r="I31" s="15">
        <f>38+5+22</f>
        <v>65</v>
      </c>
      <c r="J31" s="15">
        <f>3+72</f>
        <v>75</v>
      </c>
      <c r="K31" s="15">
        <f>6+43</f>
        <v>49</v>
      </c>
      <c r="L31" s="15">
        <v>32</v>
      </c>
      <c r="M31" s="15">
        <v>120</v>
      </c>
    </row>
    <row r="32" spans="1:13" x14ac:dyDescent="0.2">
      <c r="A32" s="17"/>
      <c r="B32" s="1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">
      <c r="A33" s="17" t="s">
        <v>23</v>
      </c>
      <c r="B33" s="13">
        <v>732</v>
      </c>
      <c r="C33" s="15">
        <v>8</v>
      </c>
      <c r="D33" s="15">
        <v>74</v>
      </c>
      <c r="E33" s="15">
        <v>28</v>
      </c>
      <c r="F33" s="15">
        <f>2+123+52</f>
        <v>177</v>
      </c>
      <c r="G33" s="15">
        <v>10</v>
      </c>
      <c r="H33" s="15">
        <f>33+22</f>
        <v>55</v>
      </c>
      <c r="I33" s="15">
        <f>49+25</f>
        <v>74</v>
      </c>
      <c r="J33" s="15">
        <f>97+3</f>
        <v>100</v>
      </c>
      <c r="K33" s="15">
        <f>54+5</f>
        <v>59</v>
      </c>
      <c r="L33" s="15">
        <f>33+1</f>
        <v>34</v>
      </c>
      <c r="M33" s="15">
        <v>113</v>
      </c>
    </row>
    <row r="34" spans="1:13" x14ac:dyDescent="0.2">
      <c r="A34" s="17" t="s">
        <v>24</v>
      </c>
      <c r="B34" s="13">
        <v>3135</v>
      </c>
      <c r="C34" s="15">
        <v>6</v>
      </c>
      <c r="D34" s="15">
        <v>394</v>
      </c>
      <c r="E34" s="15">
        <v>70</v>
      </c>
      <c r="F34" s="15">
        <f>7+443+51</f>
        <v>501</v>
      </c>
      <c r="G34" s="15">
        <v>102</v>
      </c>
      <c r="H34" s="15">
        <f>157+347</f>
        <v>504</v>
      </c>
      <c r="I34" s="15">
        <f>578+32+208</f>
        <v>818</v>
      </c>
      <c r="J34" s="15">
        <f>44+180</f>
        <v>224</v>
      </c>
      <c r="K34" s="15">
        <f>206+77</f>
        <v>283</v>
      </c>
      <c r="L34" s="15">
        <f>123+1</f>
        <v>124</v>
      </c>
      <c r="M34" s="15">
        <v>109</v>
      </c>
    </row>
    <row r="35" spans="1:13" x14ac:dyDescent="0.2">
      <c r="A35" s="17" t="s">
        <v>25</v>
      </c>
      <c r="B35" s="13">
        <v>1287</v>
      </c>
      <c r="C35" s="15">
        <v>7</v>
      </c>
      <c r="D35" s="15">
        <v>178</v>
      </c>
      <c r="E35" s="15">
        <v>39</v>
      </c>
      <c r="F35" s="15">
        <f>4+152+61</f>
        <v>217</v>
      </c>
      <c r="G35" s="15">
        <v>22</v>
      </c>
      <c r="H35" s="15">
        <f>45+63</f>
        <v>108</v>
      </c>
      <c r="I35" s="15">
        <f>123+4+67</f>
        <v>194</v>
      </c>
      <c r="J35" s="15">
        <f>18+163</f>
        <v>181</v>
      </c>
      <c r="K35" s="15">
        <f>21+89</f>
        <v>110</v>
      </c>
      <c r="L35" s="15">
        <f>101+1</f>
        <v>102</v>
      </c>
      <c r="M35" s="15">
        <v>129</v>
      </c>
    </row>
    <row r="36" spans="1:13" x14ac:dyDescent="0.2">
      <c r="A36" s="17" t="s">
        <v>26</v>
      </c>
      <c r="B36" s="13">
        <v>1253</v>
      </c>
      <c r="C36" s="15">
        <v>148</v>
      </c>
      <c r="D36" s="15">
        <v>126</v>
      </c>
      <c r="E36" s="15">
        <v>42</v>
      </c>
      <c r="F36" s="15">
        <f>5+185+104</f>
        <v>294</v>
      </c>
      <c r="G36" s="15">
        <v>12</v>
      </c>
      <c r="H36" s="15">
        <f>42+69</f>
        <v>111</v>
      </c>
      <c r="I36" s="15">
        <f>100+2+39</f>
        <v>141</v>
      </c>
      <c r="J36" s="15">
        <f>7+98</f>
        <v>105</v>
      </c>
      <c r="K36" s="15">
        <f>10+74</f>
        <v>84</v>
      </c>
      <c r="L36" s="15">
        <v>73</v>
      </c>
      <c r="M36" s="15">
        <v>117</v>
      </c>
    </row>
    <row r="37" spans="1:13" x14ac:dyDescent="0.2">
      <c r="A37" s="17" t="s">
        <v>27</v>
      </c>
      <c r="B37" s="13">
        <v>19112</v>
      </c>
      <c r="C37" s="15">
        <v>20</v>
      </c>
      <c r="D37" s="15">
        <v>2388</v>
      </c>
      <c r="E37" s="15">
        <v>757</v>
      </c>
      <c r="F37" s="15">
        <f>33+3019+355</f>
        <v>3407</v>
      </c>
      <c r="G37" s="15">
        <v>732</v>
      </c>
      <c r="H37" s="15">
        <f>1003+1073</f>
        <v>2076</v>
      </c>
      <c r="I37" s="15">
        <f>3156+233+1024</f>
        <v>4413</v>
      </c>
      <c r="J37" s="15">
        <f>408+2249</f>
        <v>2657</v>
      </c>
      <c r="K37" s="15">
        <f>298+929</f>
        <v>1227</v>
      </c>
      <c r="L37" s="15">
        <f>923+3</f>
        <v>926</v>
      </c>
      <c r="M37" s="15">
        <v>509</v>
      </c>
    </row>
    <row r="38" spans="1:13" x14ac:dyDescent="0.2">
      <c r="A38" s="17"/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">
      <c r="A39" s="17" t="s">
        <v>28</v>
      </c>
      <c r="B39" s="13">
        <v>1321</v>
      </c>
      <c r="C39" s="15" t="s">
        <v>45</v>
      </c>
      <c r="D39" s="15">
        <v>257</v>
      </c>
      <c r="E39" s="15">
        <v>48</v>
      </c>
      <c r="F39" s="15">
        <f>3+147+40</f>
        <v>190</v>
      </c>
      <c r="G39" s="15" t="s">
        <v>45</v>
      </c>
      <c r="H39" s="15">
        <f>47+70</f>
        <v>117</v>
      </c>
      <c r="I39" s="15">
        <f>220+14+91</f>
        <v>325</v>
      </c>
      <c r="J39" s="15">
        <f>20+110</f>
        <v>130</v>
      </c>
      <c r="K39" s="15">
        <f>25+61</f>
        <v>86</v>
      </c>
      <c r="L39" s="15">
        <v>62</v>
      </c>
      <c r="M39" s="15">
        <v>75</v>
      </c>
    </row>
    <row r="40" spans="1:13" x14ac:dyDescent="0.2">
      <c r="A40" s="17" t="s">
        <v>29</v>
      </c>
      <c r="B40" s="13">
        <v>6949</v>
      </c>
      <c r="C40" s="15">
        <v>16</v>
      </c>
      <c r="D40" s="15">
        <v>1265</v>
      </c>
      <c r="E40" s="15">
        <v>269</v>
      </c>
      <c r="F40" s="15">
        <f>17+884+172</f>
        <v>1073</v>
      </c>
      <c r="G40" s="15">
        <v>141</v>
      </c>
      <c r="H40" s="15">
        <f>330+463</f>
        <v>793</v>
      </c>
      <c r="I40" s="15">
        <f>938+62+436</f>
        <v>1436</v>
      </c>
      <c r="J40" s="15">
        <f>77+806</f>
        <v>883</v>
      </c>
      <c r="K40" s="15">
        <f>102+434</f>
        <v>536</v>
      </c>
      <c r="L40" s="15">
        <f>330+3</f>
        <v>333</v>
      </c>
      <c r="M40" s="15">
        <v>204</v>
      </c>
    </row>
    <row r="41" spans="1:13" x14ac:dyDescent="0.2">
      <c r="A41" s="17" t="s">
        <v>30</v>
      </c>
      <c r="B41" s="13">
        <v>146</v>
      </c>
      <c r="C41" s="15" t="s">
        <v>45</v>
      </c>
      <c r="D41" s="15">
        <v>24</v>
      </c>
      <c r="E41" s="15">
        <v>5</v>
      </c>
      <c r="F41" s="15">
        <f>2+5+15</f>
        <v>22</v>
      </c>
      <c r="G41" s="15" t="s">
        <v>45</v>
      </c>
      <c r="H41" s="15" t="s">
        <v>45</v>
      </c>
      <c r="I41" s="15">
        <f>7+1</f>
        <v>8</v>
      </c>
      <c r="J41" s="15">
        <v>9</v>
      </c>
      <c r="K41" s="15">
        <f>5+30</f>
        <v>35</v>
      </c>
      <c r="L41" s="15">
        <v>4</v>
      </c>
      <c r="M41" s="15">
        <v>34</v>
      </c>
    </row>
    <row r="42" spans="1:13" x14ac:dyDescent="0.2">
      <c r="A42" s="17" t="s">
        <v>31</v>
      </c>
      <c r="B42" s="13">
        <v>6688</v>
      </c>
      <c r="C42" s="15">
        <v>6</v>
      </c>
      <c r="D42" s="15">
        <v>978</v>
      </c>
      <c r="E42" s="15">
        <v>316</v>
      </c>
      <c r="F42" s="15">
        <f>12+1008+174</f>
        <v>1194</v>
      </c>
      <c r="G42" s="15">
        <v>99</v>
      </c>
      <c r="H42" s="15">
        <f>357+419</f>
        <v>776</v>
      </c>
      <c r="I42" s="15">
        <f>741+46+414</f>
        <v>1201</v>
      </c>
      <c r="J42" s="15">
        <f>76+826</f>
        <v>902</v>
      </c>
      <c r="K42" s="15">
        <f>95+426</f>
        <v>521</v>
      </c>
      <c r="L42" s="15">
        <f>429+1</f>
        <v>430</v>
      </c>
      <c r="M42" s="15">
        <v>265</v>
      </c>
    </row>
    <row r="43" spans="1:13" x14ac:dyDescent="0.2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3.5" thickBo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">
      <c r="A45" s="4" t="s">
        <v>47</v>
      </c>
      <c r="B45" s="4"/>
    </row>
    <row r="46" spans="1:13" x14ac:dyDescent="0.2">
      <c r="A46" s="3" t="s">
        <v>44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Form15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2018-11-01T13:21:50Z</cp:lastPrinted>
  <dcterms:created xsi:type="dcterms:W3CDTF">2011-11-30T23:44:52Z</dcterms:created>
  <dcterms:modified xsi:type="dcterms:W3CDTF">2023-01-24T13:53:12Z</dcterms:modified>
</cp:coreProperties>
</file>