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0\Excel\"/>
    </mc:Choice>
  </mc:AlternateContent>
  <xr:revisionPtr revIDLastSave="0" documentId="13_ncr:1_{BB8BD071-3AF8-4355-9AAC-015DE5F84242}" xr6:coauthVersionLast="36" xr6:coauthVersionMax="36" xr10:uidLastSave="{00000000-0000-0000-0000-000000000000}"/>
  <bookViews>
    <workbookView xWindow="0" yWindow="0" windowWidth="16650" windowHeight="8850" activeTab="2" xr2:uid="{00000000-000D-0000-FFFF-FFFF00000000}"/>
  </bookViews>
  <sheets>
    <sheet name="Chart1" sheetId="2" r:id="rId1"/>
    <sheet name="Sheet1" sheetId="3" r:id="rId2"/>
    <sheet name="TABLE5" sheetId="1" r:id="rId3"/>
  </sheets>
  <definedNames>
    <definedName name="_xlnm.Print_Area" localSheetId="2">TABLE5!$A$1:$K$352</definedName>
    <definedName name="_xlnm.Print_Area">TABLE5!$P$652:$V$702</definedName>
  </definedNames>
  <calcPr calcId="191029"/>
</workbook>
</file>

<file path=xl/calcChain.xml><?xml version="1.0" encoding="utf-8"?>
<calcChain xmlns="http://schemas.openxmlformats.org/spreadsheetml/2006/main">
  <c r="E40" i="1" l="1"/>
  <c r="K221" i="1" l="1"/>
  <c r="K196" i="1"/>
  <c r="E118" i="1"/>
  <c r="K234" i="1" l="1"/>
  <c r="J237" i="1" l="1"/>
  <c r="J236" i="1"/>
  <c r="K14" i="1"/>
  <c r="E25" i="1"/>
  <c r="E24" i="1"/>
  <c r="E23" i="1"/>
  <c r="E22" i="1"/>
  <c r="E21" i="1"/>
  <c r="E20" i="1"/>
  <c r="E19" i="1"/>
  <c r="E18" i="1"/>
  <c r="E17" i="1"/>
  <c r="E16" i="1"/>
  <c r="E14" i="1"/>
  <c r="K346" i="1"/>
  <c r="K345" i="1"/>
  <c r="K344" i="1"/>
  <c r="K343" i="1"/>
  <c r="K342" i="1"/>
  <c r="K341" i="1"/>
  <c r="K340" i="1"/>
  <c r="K339" i="1"/>
  <c r="K338" i="1"/>
  <c r="K337" i="1"/>
  <c r="K335" i="1"/>
  <c r="E273" i="1"/>
  <c r="E272" i="1"/>
  <c r="E271" i="1"/>
  <c r="E270" i="1"/>
  <c r="E269" i="1"/>
  <c r="E268" i="1"/>
  <c r="E267" i="1"/>
  <c r="E266" i="1"/>
  <c r="E265" i="1"/>
  <c r="E264" i="1"/>
  <c r="E262" i="1"/>
  <c r="K324" i="1"/>
  <c r="K323" i="1"/>
  <c r="K322" i="1"/>
  <c r="K321" i="1"/>
  <c r="K320" i="1"/>
  <c r="K319" i="1"/>
  <c r="K318" i="1"/>
  <c r="K317" i="1"/>
  <c r="K316" i="1"/>
  <c r="K315" i="1"/>
  <c r="K313" i="1"/>
  <c r="K273" i="1"/>
  <c r="K272" i="1"/>
  <c r="K271" i="1"/>
  <c r="K270" i="1"/>
  <c r="K269" i="1"/>
  <c r="K268" i="1"/>
  <c r="K267" i="1"/>
  <c r="K266" i="1"/>
  <c r="K265" i="1"/>
  <c r="K264" i="1"/>
  <c r="K262" i="1"/>
  <c r="K295" i="1"/>
  <c r="K294" i="1"/>
  <c r="K293" i="1"/>
  <c r="K292" i="1"/>
  <c r="K291" i="1"/>
  <c r="K290" i="1"/>
  <c r="K289" i="1"/>
  <c r="K288" i="1"/>
  <c r="K287" i="1"/>
  <c r="K286" i="1"/>
  <c r="K284" i="1"/>
  <c r="E337" i="1"/>
  <c r="E345" i="1"/>
  <c r="E344" i="1"/>
  <c r="E343" i="1"/>
  <c r="E342" i="1"/>
  <c r="E341" i="1"/>
  <c r="E340" i="1"/>
  <c r="E339" i="1"/>
  <c r="E338" i="1"/>
  <c r="E335" i="1"/>
  <c r="E324" i="1"/>
  <c r="E323" i="1"/>
  <c r="E322" i="1"/>
  <c r="E321" i="1"/>
  <c r="E320" i="1"/>
  <c r="E319" i="1"/>
  <c r="E318" i="1"/>
  <c r="E316" i="1"/>
  <c r="E313" i="1"/>
  <c r="E294" i="1"/>
  <c r="E295" i="1"/>
  <c r="E293" i="1"/>
  <c r="E292" i="1"/>
  <c r="E291" i="1"/>
  <c r="E290" i="1"/>
  <c r="E289" i="1"/>
  <c r="E288" i="1"/>
  <c r="E287" i="1"/>
  <c r="E284" i="1"/>
  <c r="I237" i="1"/>
  <c r="H236" i="1"/>
  <c r="H237" i="1"/>
  <c r="E244" i="1"/>
  <c r="E243" i="1"/>
  <c r="E242" i="1"/>
  <c r="E241" i="1"/>
  <c r="E240" i="1"/>
  <c r="E239" i="1"/>
  <c r="E238" i="1"/>
  <c r="E237" i="1"/>
  <c r="E236" i="1"/>
  <c r="E234" i="1"/>
  <c r="D244" i="1"/>
  <c r="C244" i="1"/>
  <c r="K222" i="1"/>
  <c r="K220" i="1"/>
  <c r="K219" i="1"/>
  <c r="K218" i="1"/>
  <c r="K217" i="1"/>
  <c r="K216" i="1"/>
  <c r="K215" i="1"/>
  <c r="K213" i="1"/>
  <c r="J223" i="1"/>
  <c r="K223" i="1" s="1"/>
  <c r="I223" i="1"/>
  <c r="H223" i="1"/>
  <c r="E224" i="1"/>
  <c r="E223" i="1"/>
  <c r="E222" i="1"/>
  <c r="E221" i="1"/>
  <c r="E220" i="1"/>
  <c r="E219" i="1"/>
  <c r="E218" i="1"/>
  <c r="E217" i="1"/>
  <c r="E216" i="1"/>
  <c r="E215" i="1"/>
  <c r="E213" i="1"/>
  <c r="K195" i="1"/>
  <c r="K194" i="1"/>
  <c r="K193" i="1"/>
  <c r="K192" i="1"/>
  <c r="K191" i="1"/>
  <c r="K190" i="1"/>
  <c r="K189" i="1"/>
  <c r="K188" i="1"/>
  <c r="K187" i="1"/>
  <c r="K185" i="1"/>
  <c r="E192" i="1"/>
  <c r="E191" i="1"/>
  <c r="E190" i="1"/>
  <c r="E189" i="1"/>
  <c r="E188" i="1"/>
  <c r="E187" i="1"/>
  <c r="E193" i="1"/>
  <c r="E194" i="1"/>
  <c r="E195" i="1"/>
  <c r="E196" i="1"/>
  <c r="E185" i="1"/>
  <c r="K173" i="1"/>
  <c r="K172" i="1"/>
  <c r="K171" i="1"/>
  <c r="K170" i="1"/>
  <c r="K169" i="1"/>
  <c r="K168" i="1"/>
  <c r="K167" i="1"/>
  <c r="K166" i="1"/>
  <c r="K164" i="1"/>
  <c r="J174" i="1"/>
  <c r="K174" i="1" s="1"/>
  <c r="I174" i="1"/>
  <c r="E173" i="1"/>
  <c r="E172" i="1"/>
  <c r="E171" i="1"/>
  <c r="E174" i="1"/>
  <c r="E175" i="1"/>
  <c r="E170" i="1"/>
  <c r="E169" i="1"/>
  <c r="E168" i="1"/>
  <c r="E167" i="1"/>
  <c r="E166" i="1"/>
  <c r="E164" i="1"/>
  <c r="K144" i="1"/>
  <c r="K143" i="1"/>
  <c r="K142" i="1"/>
  <c r="K141" i="1"/>
  <c r="K140" i="1"/>
  <c r="K139" i="1"/>
  <c r="K138" i="1"/>
  <c r="K137" i="1"/>
  <c r="K135" i="1"/>
  <c r="J135" i="1"/>
  <c r="H135" i="1"/>
  <c r="I135" i="1"/>
  <c r="E145" i="1"/>
  <c r="E146" i="1"/>
  <c r="E144" i="1"/>
  <c r="E143" i="1"/>
  <c r="E142" i="1"/>
  <c r="E141" i="1"/>
  <c r="E140" i="1"/>
  <c r="E139" i="1"/>
  <c r="E138" i="1"/>
  <c r="E137" i="1"/>
  <c r="E135" i="1"/>
  <c r="K125" i="1" l="1"/>
  <c r="K124" i="1"/>
  <c r="K123" i="1"/>
  <c r="K122" i="1"/>
  <c r="K121" i="1"/>
  <c r="K120" i="1"/>
  <c r="K119" i="1"/>
  <c r="K118" i="1"/>
  <c r="K117" i="1"/>
  <c r="K114" i="1"/>
  <c r="K116" i="1"/>
  <c r="E120" i="1"/>
  <c r="E121" i="1"/>
  <c r="E122" i="1"/>
  <c r="E123" i="1"/>
  <c r="E124" i="1"/>
  <c r="E125" i="1"/>
  <c r="E119" i="1"/>
  <c r="E117" i="1"/>
  <c r="E116" i="1"/>
  <c r="E114" i="1"/>
  <c r="K77" i="1"/>
  <c r="K76" i="1"/>
  <c r="K75" i="1"/>
  <c r="K74" i="1"/>
  <c r="K73" i="1"/>
  <c r="K72" i="1"/>
  <c r="K71" i="1"/>
  <c r="K70" i="1"/>
  <c r="K69" i="1"/>
  <c r="K68" i="1"/>
  <c r="K66" i="1"/>
  <c r="K98" i="1"/>
  <c r="K97" i="1"/>
  <c r="K96" i="1"/>
  <c r="K95" i="1"/>
  <c r="K94" i="1"/>
  <c r="K93" i="1"/>
  <c r="K92" i="1"/>
  <c r="K91" i="1"/>
  <c r="K90" i="1"/>
  <c r="K89" i="1"/>
  <c r="K87" i="1"/>
  <c r="E92" i="1"/>
  <c r="E91" i="1"/>
  <c r="E90" i="1"/>
  <c r="E89" i="1"/>
  <c r="E93" i="1"/>
  <c r="E94" i="1"/>
  <c r="E95" i="1"/>
  <c r="E96" i="1"/>
  <c r="E97" i="1"/>
  <c r="E87" i="1"/>
  <c r="E77" i="1"/>
  <c r="E76" i="1"/>
  <c r="E75" i="1"/>
  <c r="E74" i="1"/>
  <c r="E73" i="1"/>
  <c r="E72" i="1"/>
  <c r="E71" i="1"/>
  <c r="E70" i="1"/>
  <c r="E69" i="1"/>
  <c r="E68" i="1"/>
  <c r="E66" i="1"/>
  <c r="K44" i="1"/>
  <c r="K43" i="1"/>
  <c r="K42" i="1"/>
  <c r="K41" i="1"/>
  <c r="K40" i="1"/>
  <c r="K39" i="1"/>
  <c r="K38" i="1"/>
  <c r="K45" i="1"/>
  <c r="K36" i="1"/>
  <c r="J46" i="1"/>
  <c r="K46" i="1" s="1"/>
  <c r="H46" i="1" l="1"/>
  <c r="I46" i="1"/>
  <c r="E42" i="1"/>
  <c r="E43" i="1"/>
  <c r="E41" i="1"/>
  <c r="E39" i="1"/>
  <c r="E38" i="1"/>
  <c r="E36" i="1"/>
  <c r="D44" i="1"/>
  <c r="E44" i="1" s="1"/>
  <c r="C44" i="1"/>
  <c r="K23" i="1" l="1"/>
  <c r="K22" i="1"/>
  <c r="K21" i="1"/>
  <c r="K20" i="1"/>
  <c r="K19" i="1"/>
  <c r="K18" i="1"/>
  <c r="K17" i="1"/>
  <c r="K16" i="1"/>
  <c r="J23" i="1"/>
  <c r="I23" i="1"/>
  <c r="J234" i="1" l="1"/>
  <c r="D264" i="1" l="1"/>
  <c r="D265" i="1"/>
  <c r="D266" i="1"/>
  <c r="D267" i="1"/>
  <c r="D268" i="1"/>
  <c r="D269" i="1"/>
  <c r="D270" i="1"/>
  <c r="D271" i="1"/>
  <c r="D272" i="1"/>
  <c r="D273" i="1"/>
  <c r="C264" i="1"/>
  <c r="C265" i="1"/>
  <c r="C266" i="1"/>
  <c r="C267" i="1"/>
  <c r="C268" i="1"/>
  <c r="C269" i="1"/>
  <c r="C270" i="1"/>
  <c r="C271" i="1"/>
  <c r="C272" i="1"/>
  <c r="C273" i="1"/>
  <c r="B265" i="1"/>
  <c r="B266" i="1"/>
  <c r="B267" i="1"/>
  <c r="B268" i="1"/>
  <c r="B269" i="1"/>
  <c r="B270" i="1"/>
  <c r="B271" i="1"/>
  <c r="B272" i="1"/>
  <c r="B273" i="1"/>
  <c r="B264" i="1"/>
  <c r="D284" i="1"/>
  <c r="B244" i="1"/>
  <c r="I213" i="1"/>
  <c r="C262" i="1" l="1"/>
  <c r="J335" i="1"/>
  <c r="D262" i="1"/>
  <c r="D234" i="1"/>
  <c r="J213" i="1"/>
  <c r="D213" i="1"/>
  <c r="J185" i="1"/>
  <c r="D185" i="1"/>
  <c r="J164" i="1"/>
  <c r="D164" i="1"/>
  <c r="D135" i="1"/>
  <c r="J114" i="1"/>
  <c r="D114" i="1"/>
  <c r="J87" i="1"/>
  <c r="D87" i="1"/>
  <c r="D66" i="1"/>
  <c r="J36" i="1"/>
  <c r="D36" i="1"/>
  <c r="J14" i="1"/>
  <c r="H213" i="1" l="1"/>
  <c r="C164" i="1"/>
  <c r="B164" i="1"/>
  <c r="I234" i="1" l="1"/>
  <c r="J71" i="1"/>
  <c r="D19" i="1" s="1"/>
  <c r="J72" i="1"/>
  <c r="D20" i="1" s="1"/>
  <c r="J73" i="1"/>
  <c r="D21" i="1" s="1"/>
  <c r="J74" i="1"/>
  <c r="J75" i="1"/>
  <c r="J76" i="1"/>
  <c r="J77" i="1"/>
  <c r="I76" i="1" l="1"/>
  <c r="I77" i="1"/>
  <c r="H76" i="1"/>
  <c r="H77" i="1"/>
  <c r="I87" i="1"/>
  <c r="H87" i="1"/>
  <c r="I185" i="1" l="1"/>
  <c r="H185" i="1"/>
  <c r="H68" i="1"/>
  <c r="B16" i="1" s="1"/>
  <c r="H69" i="1"/>
  <c r="B17" i="1" s="1"/>
  <c r="H70" i="1"/>
  <c r="B18" i="1" s="1"/>
  <c r="I36" i="1"/>
  <c r="H36" i="1"/>
  <c r="H234" i="1" l="1"/>
  <c r="I75" i="1" l="1"/>
  <c r="B114" i="1" l="1"/>
  <c r="C114" i="1"/>
  <c r="D335" i="1" l="1"/>
  <c r="C335" i="1"/>
  <c r="B335" i="1"/>
  <c r="H75" i="1"/>
  <c r="H74" i="1"/>
  <c r="I335" i="1" l="1"/>
  <c r="H335" i="1"/>
  <c r="J313" i="1"/>
  <c r="I313" i="1"/>
  <c r="H313" i="1"/>
  <c r="D313" i="1"/>
  <c r="C313" i="1"/>
  <c r="B313" i="1"/>
  <c r="J284" i="1"/>
  <c r="I284" i="1"/>
  <c r="H284" i="1"/>
  <c r="C284" i="1"/>
  <c r="B284" i="1"/>
  <c r="J262" i="1"/>
  <c r="I262" i="1"/>
  <c r="H262" i="1"/>
  <c r="B262" i="1"/>
  <c r="B234" i="1"/>
  <c r="C234" i="1"/>
  <c r="C213" i="1"/>
  <c r="B213" i="1"/>
  <c r="C185" i="1"/>
  <c r="B185" i="1"/>
  <c r="I164" i="1"/>
  <c r="H164" i="1"/>
  <c r="C135" i="1"/>
  <c r="B135" i="1"/>
  <c r="I114" i="1"/>
  <c r="H114" i="1"/>
  <c r="C87" i="1"/>
  <c r="B87" i="1"/>
  <c r="I74" i="1"/>
  <c r="I73" i="1"/>
  <c r="C21" i="1" s="1"/>
  <c r="H73" i="1"/>
  <c r="B21" i="1" s="1"/>
  <c r="I72" i="1"/>
  <c r="C20" i="1" s="1"/>
  <c r="H72" i="1"/>
  <c r="B20" i="1" s="1"/>
  <c r="I71" i="1"/>
  <c r="C19" i="1" s="1"/>
  <c r="H71" i="1"/>
  <c r="B19" i="1" s="1"/>
  <c r="J70" i="1"/>
  <c r="D18" i="1" s="1"/>
  <c r="I70" i="1"/>
  <c r="C18" i="1" s="1"/>
  <c r="J69" i="1"/>
  <c r="D17" i="1" s="1"/>
  <c r="I69" i="1"/>
  <c r="C17" i="1" s="1"/>
  <c r="J68" i="1"/>
  <c r="I68" i="1"/>
  <c r="C16" i="1" s="1"/>
  <c r="C66" i="1"/>
  <c r="B66" i="1"/>
  <c r="C36" i="1"/>
  <c r="B36" i="1"/>
  <c r="I14" i="1"/>
  <c r="H14" i="1"/>
  <c r="E37" i="3"/>
  <c r="F37" i="3"/>
  <c r="D16" i="1" l="1"/>
  <c r="D14" i="1" s="1"/>
  <c r="J66" i="1"/>
  <c r="C14" i="1"/>
  <c r="B14" i="1"/>
  <c r="I66" i="1"/>
  <c r="H66" i="1"/>
</calcChain>
</file>

<file path=xl/sharedStrings.xml><?xml version="1.0" encoding="utf-8"?>
<sst xmlns="http://schemas.openxmlformats.org/spreadsheetml/2006/main" count="733" uniqueCount="67">
  <si>
    <t>STATE TOTAL</t>
  </si>
  <si>
    <t xml:space="preserve">   MINING (21)</t>
  </si>
  <si>
    <t>Total</t>
  </si>
  <si>
    <t xml:space="preserve">   Average</t>
  </si>
  <si>
    <t>Employment</t>
  </si>
  <si>
    <t xml:space="preserve">   Number of</t>
  </si>
  <si>
    <t xml:space="preserve">    March</t>
  </si>
  <si>
    <t>Quarterly</t>
  </si>
  <si>
    <t xml:space="preserve">   Monthly</t>
  </si>
  <si>
    <t xml:space="preserve">  Range</t>
  </si>
  <si>
    <t>Establishments</t>
  </si>
  <si>
    <t xml:space="preserve">  Employment</t>
  </si>
  <si>
    <t>Wages</t>
  </si>
  <si>
    <t xml:space="preserve">   Wage</t>
  </si>
  <si>
    <t xml:space="preserve">  Total</t>
  </si>
  <si>
    <t>0</t>
  </si>
  <si>
    <t>1-4</t>
  </si>
  <si>
    <t>5-9</t>
  </si>
  <si>
    <t>20-49</t>
  </si>
  <si>
    <t>50-99</t>
  </si>
  <si>
    <t>100-249</t>
  </si>
  <si>
    <t>250-499</t>
  </si>
  <si>
    <t>250 &amp; Over</t>
  </si>
  <si>
    <t>500-999</t>
  </si>
  <si>
    <t>1,000 &amp; Over</t>
  </si>
  <si>
    <t>UTILITIES (22)</t>
  </si>
  <si>
    <t xml:space="preserve">    CONSTRUCTION (23)</t>
  </si>
  <si>
    <t xml:space="preserve">   Total</t>
  </si>
  <si>
    <t xml:space="preserve"> </t>
  </si>
  <si>
    <t xml:space="preserve">       MANUFACTURING (31-33)</t>
  </si>
  <si>
    <t xml:space="preserve">   TRADE</t>
  </si>
  <si>
    <t>500 &amp; Over</t>
  </si>
  <si>
    <t xml:space="preserve">    Wholesale Trade (42)</t>
  </si>
  <si>
    <t>Retail Trade (44-45)</t>
  </si>
  <si>
    <t xml:space="preserve">   TRANSPORTATION AND WAREHOUSING (48-49)</t>
  </si>
  <si>
    <t xml:space="preserve">              INFORMATION (51)</t>
  </si>
  <si>
    <t>FINANCE AND INSURANCE (52)</t>
  </si>
  <si>
    <t>REAL ESTATE &amp; RENTAL AND LEASING (53)</t>
  </si>
  <si>
    <t>100 &amp; Over</t>
  </si>
  <si>
    <t>PROFESSIONAL, SCIENTIFIC, AND TECHNICAL SERVICES (54)</t>
  </si>
  <si>
    <t>MANAGEMENT OF COMPANIES AND ENTERPRISES (55)</t>
  </si>
  <si>
    <t>ADMINISTRATIVE &amp; SUPPORT, WASTE MANAGEMENT, &amp; REMEDIATION SERVICES (56)</t>
  </si>
  <si>
    <t>HEALTH CARE AND SOCIAL ASSISTANCE (62)</t>
  </si>
  <si>
    <t>ARTS, ENTERTAINMENT, AND RECREATION (71)</t>
  </si>
  <si>
    <t>ACCOMMODATION AND FOOD SERVICES (72)</t>
  </si>
  <si>
    <t>OTHER SERVICES (81)</t>
  </si>
  <si>
    <t>FEDERAL GOVERNMENT</t>
  </si>
  <si>
    <t>FEDERAL DEFENSE</t>
  </si>
  <si>
    <t>STATE GOVERNMENT</t>
  </si>
  <si>
    <t>STATE EDUCATION</t>
  </si>
  <si>
    <t>LOCAL GOVERNMENT</t>
  </si>
  <si>
    <t>LOCAL EDUCATION</t>
  </si>
  <si>
    <t>PRIVATE SECTOR</t>
  </si>
  <si>
    <t>GOVERNMENT (92)</t>
  </si>
  <si>
    <t>500 &amp;  Over</t>
  </si>
  <si>
    <t>500 - 999</t>
  </si>
  <si>
    <t>10-19</t>
  </si>
  <si>
    <t>1000 &amp; Over</t>
  </si>
  <si>
    <t xml:space="preserve">250-499 </t>
  </si>
  <si>
    <t>EDUCATIONAL SERVICES (PRIVATE) (61)</t>
  </si>
  <si>
    <t>`</t>
  </si>
  <si>
    <t xml:space="preserve">    </t>
  </si>
  <si>
    <t xml:space="preserve">BY EMPLOYMENT RANGE AND NAICS SECTOR, FIRST QUARTER 2020
</t>
  </si>
  <si>
    <t>EMPLOYMENT RANGE AND NAICS SECTOR, FIRST QUARTER 2020</t>
  </si>
  <si>
    <t xml:space="preserve">TABLE 16.  UTAH NONAGRICULTURAL ESTABLISHMENTS, EMPLOYMENT, AND WAGES
</t>
  </si>
  <si>
    <t xml:space="preserve">TABLE 16.  (cont.) UTAH NONAGRICULTURAL ESTABLISHMENTS, EMPLOYMENT, AND WAGES BY </t>
  </si>
  <si>
    <t>SOURCE: Utah Department of Workforce Services, Workforce Research &amp; Analysis, Annual Report of Labor Market Information,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</si>
</sst>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\ ;\(&quot;$&quot;#,##0\)"/>
    <numFmt numFmtId="165" formatCode="&quot;$&quot;#,##0"/>
  </numFmts>
  <fonts count="7" x14ac:knownFonts="1">
    <font>
      <sz val="10"/>
      <name val="Arial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10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8">
    <xf numFmtId="3" fontId="0" fillId="0" borderId="0" xfId="0" applyNumberFormat="1"/>
    <xf numFmtId="164" fontId="0" fillId="0" borderId="0" xfId="0" applyNumberFormat="1"/>
    <xf numFmtId="3" fontId="0" fillId="0" borderId="0" xfId="0" quotePrefix="1" applyNumberFormat="1"/>
    <xf numFmtId="165" fontId="0" fillId="0" borderId="0" xfId="0" applyNumberFormat="1"/>
    <xf numFmtId="3" fontId="0" fillId="0" borderId="0" xfId="0" applyNumberFormat="1" applyBorder="1"/>
    <xf numFmtId="3" fontId="2" fillId="0" borderId="0" xfId="0" applyNumberFormat="1" applyFont="1" applyBorder="1"/>
    <xf numFmtId="3" fontId="0" fillId="3" borderId="0" xfId="0" applyNumberFormat="1" applyFill="1" applyBorder="1"/>
    <xf numFmtId="3" fontId="3" fillId="2" borderId="0" xfId="0" applyNumberFormat="1" applyFont="1" applyFill="1" applyBorder="1"/>
    <xf numFmtId="3" fontId="3" fillId="0" borderId="0" xfId="0" applyNumberFormat="1" applyFont="1" applyBorder="1"/>
    <xf numFmtId="3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/>
    <xf numFmtId="164" fontId="3" fillId="0" borderId="0" xfId="0" applyNumberFormat="1" applyFont="1" applyBorder="1"/>
    <xf numFmtId="3" fontId="0" fillId="0" borderId="0" xfId="0" applyNumberFormat="1" applyFill="1" applyBorder="1"/>
    <xf numFmtId="3" fontId="2" fillId="0" borderId="0" xfId="0" applyNumberFormat="1" applyFont="1" applyFill="1" applyBorder="1"/>
    <xf numFmtId="3" fontId="4" fillId="3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Border="1"/>
    <xf numFmtId="3" fontId="1" fillId="0" borderId="0" xfId="0" applyNumberFormat="1" applyFont="1" applyFill="1" applyBorder="1"/>
    <xf numFmtId="164" fontId="0" fillId="0" borderId="0" xfId="0" applyNumberFormat="1" applyBorder="1"/>
    <xf numFmtId="4" fontId="0" fillId="0" borderId="0" xfId="0" applyNumberFormat="1" applyBorder="1"/>
    <xf numFmtId="3" fontId="3" fillId="2" borderId="0" xfId="0" applyNumberFormat="1" applyFont="1" applyFill="1" applyBorder="1" applyAlignment="1">
      <alignment horizontal="center"/>
    </xf>
    <xf numFmtId="3" fontId="4" fillId="4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4" borderId="0" xfId="0" applyNumberFormat="1" applyFont="1" applyFill="1" applyBorder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top"/>
    </xf>
    <xf numFmtId="3" fontId="3" fillId="2" borderId="0" xfId="0" applyNumberFormat="1" applyFont="1" applyFill="1" applyBorder="1" applyAlignment="1">
      <alignment horizontal="left"/>
    </xf>
    <xf numFmtId="3" fontId="4" fillId="3" borderId="0" xfId="0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098779134295227E-2"/>
          <c:y val="1.6313213703099509E-2"/>
          <c:w val="0.97780244173140951"/>
          <c:h val="0.9673735725938009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174528"/>
        <c:axId val="218032384"/>
      </c:barChart>
      <c:catAx>
        <c:axId val="213174528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8032384"/>
        <c:crosses val="autoZero"/>
        <c:auto val="1"/>
        <c:lblAlgn val="ctr"/>
        <c:lblOffset val="100"/>
        <c:tickMarkSkip val="1"/>
        <c:noMultiLvlLbl val="0"/>
      </c:catAx>
      <c:valAx>
        <c:axId val="218032384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174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Number of Employment by Construction Firm Size; March 2005</a:t>
            </a:r>
          </a:p>
        </c:rich>
      </c:tx>
      <c:layout>
        <c:manualLayout>
          <c:xMode val="edge"/>
          <c:yMode val="edge"/>
          <c:x val="0.13400000000000001"/>
          <c:y val="3.71621621621621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"/>
          <c:y val="0.25675675675675674"/>
          <c:w val="0.42399999999999999"/>
          <c:h val="0.591216216216216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Sheet1!$E$33:$E$34</c:f>
              <c:strCache>
                <c:ptCount val="2"/>
                <c:pt idx="0">
                  <c:v>   Number of</c:v>
                </c:pt>
                <c:pt idx="1">
                  <c:v>Establishments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Sheet1!$D$35:$D$46</c:f>
              <c:strCache>
                <c:ptCount val="8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10-19</c:v>
                </c:pt>
                <c:pt idx="4">
                  <c:v>20-49</c:v>
                </c:pt>
                <c:pt idx="5">
                  <c:v>50-99</c:v>
                </c:pt>
                <c:pt idx="6">
                  <c:v>100-249</c:v>
                </c:pt>
                <c:pt idx="7">
                  <c:v>250 &amp; Over</c:v>
                </c:pt>
              </c:strCache>
            </c:strRef>
          </c:cat>
          <c:val>
            <c:numRef>
              <c:f>Sheet1!$E$35:$E$46</c:f>
              <c:numCache>
                <c:formatCode>#,##0</c:formatCode>
                <c:ptCount val="8"/>
                <c:pt idx="0">
                  <c:v>2509</c:v>
                </c:pt>
                <c:pt idx="1">
                  <c:v>5021</c:v>
                </c:pt>
                <c:pt idx="2">
                  <c:v>2051</c:v>
                </c:pt>
                <c:pt idx="3">
                  <c:v>1105</c:v>
                </c:pt>
                <c:pt idx="4">
                  <c:v>600</c:v>
                </c:pt>
                <c:pt idx="5">
                  <c:v>147</c:v>
                </c:pt>
                <c:pt idx="6">
                  <c:v>46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6-417D-99F0-F6046A42B4E5}"/>
            </c:ext>
          </c:extLst>
        </c:ser>
        <c:ser>
          <c:idx val="1"/>
          <c:order val="1"/>
          <c:tx>
            <c:strRef>
              <c:f>Sheet1!$F$33:$F$34</c:f>
              <c:strCache>
                <c:ptCount val="2"/>
                <c:pt idx="0">
                  <c:v>    March</c:v>
                </c:pt>
                <c:pt idx="1">
                  <c:v>  Employment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Sheet1!$D$35:$D$46</c:f>
              <c:strCache>
                <c:ptCount val="8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10-19</c:v>
                </c:pt>
                <c:pt idx="4">
                  <c:v>20-49</c:v>
                </c:pt>
                <c:pt idx="5">
                  <c:v>50-99</c:v>
                </c:pt>
                <c:pt idx="6">
                  <c:v>100-249</c:v>
                </c:pt>
                <c:pt idx="7">
                  <c:v>250 &amp; Over</c:v>
                </c:pt>
              </c:strCache>
            </c:strRef>
          </c:cat>
          <c:val>
            <c:numRef>
              <c:f>Sheet1!$F$35:$F$46</c:f>
              <c:numCache>
                <c:formatCode>#,##0</c:formatCode>
                <c:ptCount val="8"/>
                <c:pt idx="0">
                  <c:v>0</c:v>
                </c:pt>
                <c:pt idx="1">
                  <c:v>10846</c:v>
                </c:pt>
                <c:pt idx="2">
                  <c:v>13412</c:v>
                </c:pt>
                <c:pt idx="3">
                  <c:v>14764</c:v>
                </c:pt>
                <c:pt idx="4">
                  <c:v>17856</c:v>
                </c:pt>
                <c:pt idx="5">
                  <c:v>9860</c:v>
                </c:pt>
                <c:pt idx="6">
                  <c:v>6192</c:v>
                </c:pt>
                <c:pt idx="7">
                  <c:v>1730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D6-417D-99F0-F6046A42B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74400"/>
        <c:axId val="222775936"/>
      </c:barChart>
      <c:catAx>
        <c:axId val="222774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27759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2775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2774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"/>
          <c:y val="0.42567567567567566"/>
          <c:w val="0.31399999999999995"/>
          <c:h val="0.2533783783783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8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16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27</xdr:row>
      <xdr:rowOff>142875</xdr:rowOff>
    </xdr:from>
    <xdr:to>
      <xdr:col>8</xdr:col>
      <xdr:colOff>352425</xdr:colOff>
      <xdr:row>49</xdr:row>
      <xdr:rowOff>47625</xdr:rowOff>
    </xdr:to>
    <xdr:graphicFrame macro="">
      <xdr:nvGraphicFramePr>
        <xdr:cNvPr id="1080" name="Chart 1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5:H65"/>
  <sheetViews>
    <sheetView workbookViewId="0">
      <selection activeCell="L49" sqref="L49"/>
    </sheetView>
  </sheetViews>
  <sheetFormatPr defaultRowHeight="12.75" x14ac:dyDescent="0.2"/>
  <cols>
    <col min="3" max="3" width="10.5703125" customWidth="1"/>
    <col min="4" max="4" width="11.7109375" customWidth="1"/>
    <col min="5" max="5" width="12.28515625" customWidth="1"/>
    <col min="6" max="6" width="12.140625" customWidth="1"/>
    <col min="7" max="7" width="15.28515625" customWidth="1"/>
  </cols>
  <sheetData>
    <row r="15" hidden="1" x14ac:dyDescent="0.2"/>
    <row r="16" hidden="1" x14ac:dyDescent="0.2"/>
    <row r="17" spans="4:8" hidden="1" x14ac:dyDescent="0.2">
      <c r="G17" s="3"/>
      <c r="H17" s="1"/>
    </row>
    <row r="18" spans="4:8" hidden="1" x14ac:dyDescent="0.2">
      <c r="D18" s="2"/>
    </row>
    <row r="33" spans="4:6" x14ac:dyDescent="0.2">
      <c r="D33" t="s">
        <v>4</v>
      </c>
      <c r="E33" t="s">
        <v>5</v>
      </c>
      <c r="F33" t="s">
        <v>6</v>
      </c>
    </row>
    <row r="34" spans="4:6" x14ac:dyDescent="0.2">
      <c r="D34" t="s">
        <v>9</v>
      </c>
      <c r="E34" t="s">
        <v>10</v>
      </c>
      <c r="F34" t="s">
        <v>11</v>
      </c>
    </row>
    <row r="35" spans="4:6" hidden="1" x14ac:dyDescent="0.2"/>
    <row r="36" spans="4:6" hidden="1" x14ac:dyDescent="0.2"/>
    <row r="37" spans="4:6" hidden="1" x14ac:dyDescent="0.2">
      <c r="D37" t="s">
        <v>14</v>
      </c>
      <c r="E37">
        <f>SUM(E39:E46)</f>
        <v>11484</v>
      </c>
      <c r="F37">
        <f>SUM(F39:F46)</f>
        <v>74660</v>
      </c>
    </row>
    <row r="38" spans="4:6" hidden="1" x14ac:dyDescent="0.2"/>
    <row r="39" spans="4:6" x14ac:dyDescent="0.2">
      <c r="D39" t="s">
        <v>15</v>
      </c>
      <c r="E39">
        <v>2509</v>
      </c>
      <c r="F39">
        <v>0</v>
      </c>
    </row>
    <row r="40" spans="4:6" x14ac:dyDescent="0.2">
      <c r="D40" t="s">
        <v>16</v>
      </c>
      <c r="E40">
        <v>5021</v>
      </c>
      <c r="F40">
        <v>10846</v>
      </c>
    </row>
    <row r="41" spans="4:6" x14ac:dyDescent="0.2">
      <c r="D41" t="s">
        <v>17</v>
      </c>
      <c r="E41">
        <v>2051</v>
      </c>
      <c r="F41">
        <v>13412</v>
      </c>
    </row>
    <row r="42" spans="4:6" x14ac:dyDescent="0.2">
      <c r="D42" s="2" t="s">
        <v>56</v>
      </c>
      <c r="E42">
        <v>1105</v>
      </c>
      <c r="F42">
        <v>14764</v>
      </c>
    </row>
    <row r="43" spans="4:6" x14ac:dyDescent="0.2">
      <c r="D43" t="s">
        <v>18</v>
      </c>
      <c r="E43">
        <v>600</v>
      </c>
      <c r="F43">
        <v>17856</v>
      </c>
    </row>
    <row r="44" spans="4:6" x14ac:dyDescent="0.2">
      <c r="D44" t="s">
        <v>19</v>
      </c>
      <c r="E44">
        <v>147</v>
      </c>
      <c r="F44">
        <v>9860</v>
      </c>
    </row>
    <row r="45" spans="4:6" x14ac:dyDescent="0.2">
      <c r="D45" t="s">
        <v>20</v>
      </c>
      <c r="E45">
        <v>46</v>
      </c>
      <c r="F45">
        <v>6192</v>
      </c>
    </row>
    <row r="46" spans="4:6" x14ac:dyDescent="0.2">
      <c r="D46" t="s">
        <v>22</v>
      </c>
      <c r="E46">
        <v>5</v>
      </c>
      <c r="F46">
        <v>1730</v>
      </c>
    </row>
    <row r="58" spans="3:5" x14ac:dyDescent="0.2">
      <c r="C58" t="s">
        <v>15</v>
      </c>
      <c r="D58">
        <v>2509</v>
      </c>
      <c r="E58">
        <v>0</v>
      </c>
    </row>
    <row r="59" spans="3:5" x14ac:dyDescent="0.2">
      <c r="C59" t="s">
        <v>16</v>
      </c>
      <c r="D59">
        <v>7530</v>
      </c>
      <c r="E59">
        <v>10846</v>
      </c>
    </row>
    <row r="60" spans="3:5" x14ac:dyDescent="0.2">
      <c r="C60" t="s">
        <v>17</v>
      </c>
      <c r="D60">
        <v>2051</v>
      </c>
      <c r="E60">
        <v>13412</v>
      </c>
    </row>
    <row r="61" spans="3:5" x14ac:dyDescent="0.2">
      <c r="C61" s="2" t="s">
        <v>56</v>
      </c>
      <c r="D61">
        <v>1105</v>
      </c>
      <c r="E61">
        <v>14764</v>
      </c>
    </row>
    <row r="62" spans="3:5" x14ac:dyDescent="0.2">
      <c r="C62" t="s">
        <v>18</v>
      </c>
      <c r="D62">
        <v>600</v>
      </c>
      <c r="E62">
        <v>17856</v>
      </c>
    </row>
    <row r="63" spans="3:5" x14ac:dyDescent="0.2">
      <c r="C63" t="s">
        <v>19</v>
      </c>
      <c r="D63">
        <v>147</v>
      </c>
      <c r="E63">
        <v>9860</v>
      </c>
    </row>
    <row r="64" spans="3:5" x14ac:dyDescent="0.2">
      <c r="C64" t="s">
        <v>20</v>
      </c>
      <c r="D64">
        <v>46</v>
      </c>
      <c r="E64">
        <v>6192</v>
      </c>
    </row>
    <row r="65" spans="3:5" x14ac:dyDescent="0.2">
      <c r="C65" t="s">
        <v>22</v>
      </c>
      <c r="D65">
        <v>5</v>
      </c>
      <c r="E65">
        <v>1730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782"/>
  <sheetViews>
    <sheetView tabSelected="1" topLeftCell="A328" zoomScaleNormal="100" workbookViewId="0">
      <selection activeCell="F346" sqref="F346"/>
    </sheetView>
  </sheetViews>
  <sheetFormatPr defaultRowHeight="12.75" x14ac:dyDescent="0.2"/>
  <cols>
    <col min="1" max="1" width="12.7109375" style="4" customWidth="1"/>
    <col min="2" max="2" width="14.42578125" style="4" bestFit="1" customWidth="1"/>
    <col min="3" max="3" width="13.7109375" style="4" customWidth="1"/>
    <col min="4" max="4" width="15.85546875" style="4" customWidth="1"/>
    <col min="5" max="5" width="16.28515625" style="4" customWidth="1"/>
    <col min="6" max="6" width="6.7109375" style="4" customWidth="1"/>
    <col min="7" max="7" width="12.7109375" style="4" customWidth="1"/>
    <col min="8" max="8" width="14.42578125" style="4" bestFit="1" customWidth="1"/>
    <col min="9" max="9" width="13.7109375" style="4" customWidth="1"/>
    <col min="10" max="10" width="17" style="4" customWidth="1"/>
    <col min="11" max="11" width="11.7109375" style="4" customWidth="1"/>
    <col min="12" max="12" width="9.140625" style="4"/>
    <col min="13" max="13" width="12.7109375" style="4" customWidth="1"/>
    <col min="14" max="14" width="11.7109375" style="4" customWidth="1"/>
    <col min="15" max="15" width="12.7109375" style="4" customWidth="1"/>
    <col min="16" max="16" width="14.7109375" style="4" customWidth="1"/>
    <col min="17" max="17" width="12.7109375" style="4" customWidth="1"/>
    <col min="18" max="18" width="11.140625" style="4" bestFit="1" customWidth="1"/>
    <col min="19" max="19" width="12.7109375" style="4" customWidth="1"/>
    <col min="20" max="20" width="14.7109375" style="4" customWidth="1"/>
    <col min="21" max="21" width="11.7109375" style="4" customWidth="1"/>
    <col min="22" max="22" width="14.7109375" style="4" customWidth="1"/>
    <col min="23" max="23" width="11.7109375" style="4" customWidth="1"/>
    <col min="24" max="25" width="11.140625" style="4" bestFit="1" customWidth="1"/>
    <col min="26" max="27" width="9.140625" style="4"/>
    <col min="28" max="28" width="10.7109375" style="4" customWidth="1"/>
    <col min="29" max="31" width="9.140625" style="4"/>
    <col min="32" max="32" width="3.7109375" style="4" customWidth="1"/>
    <col min="33" max="35" width="9.140625" style="4"/>
    <col min="36" max="36" width="4.7109375" style="4" customWidth="1"/>
    <col min="37" max="37" width="15.7109375" style="4" customWidth="1"/>
    <col min="38" max="40" width="9.140625" style="4"/>
    <col min="41" max="41" width="12.7109375" style="4" customWidth="1"/>
    <col min="42" max="43" width="11.7109375" style="4" customWidth="1"/>
    <col min="44" max="44" width="14.7109375" style="4" customWidth="1"/>
    <col min="45" max="45" width="11.7109375" style="4" customWidth="1"/>
    <col min="46" max="46" width="9.140625" style="4"/>
    <col min="47" max="47" width="12.7109375" style="4" customWidth="1"/>
    <col min="48" max="49" width="11.7109375" style="4" customWidth="1"/>
    <col min="50" max="50" width="14.7109375" style="4" customWidth="1"/>
    <col min="51" max="51" width="11.7109375" style="4" customWidth="1"/>
    <col min="52" max="52" width="9.140625" style="4"/>
    <col min="53" max="55" width="11.7109375" style="4" customWidth="1"/>
    <col min="56" max="56" width="14.7109375" style="4" customWidth="1"/>
    <col min="57" max="57" width="11.7109375" style="4" customWidth="1"/>
    <col min="58" max="58" width="9.140625" style="4"/>
    <col min="59" max="61" width="11.7109375" style="4" customWidth="1"/>
    <col min="62" max="62" width="14.7109375" style="4" customWidth="1"/>
    <col min="63" max="63" width="11.7109375" style="4" customWidth="1"/>
    <col min="64" max="64" width="9.140625" style="4"/>
    <col min="65" max="65" width="12.7109375" style="4" customWidth="1"/>
    <col min="66" max="67" width="11.7109375" style="4" customWidth="1"/>
    <col min="68" max="68" width="14.7109375" style="4" customWidth="1"/>
    <col min="69" max="69" width="11.7109375" style="4" customWidth="1"/>
    <col min="70" max="70" width="9.140625" style="4"/>
    <col min="71" max="71" width="12.7109375" style="4" customWidth="1"/>
    <col min="72" max="73" width="11.7109375" style="4" customWidth="1"/>
    <col min="74" max="74" width="14.7109375" style="4" customWidth="1"/>
    <col min="75" max="75" width="11.7109375" style="4" customWidth="1"/>
    <col min="76" max="16384" width="9.140625" style="4"/>
  </cols>
  <sheetData>
    <row r="1" spans="1:11" x14ac:dyDescent="0.2">
      <c r="A1" s="4" t="s">
        <v>61</v>
      </c>
    </row>
    <row r="3" spans="1:11" x14ac:dyDescent="0.2">
      <c r="G3" s="5" t="s">
        <v>60</v>
      </c>
    </row>
    <row r="4" spans="1:11" x14ac:dyDescent="0.2">
      <c r="A4" s="23" t="s">
        <v>64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x14ac:dyDescent="0.2">
      <c r="A5" s="23" t="s">
        <v>62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8" customFormat="1" x14ac:dyDescent="0.2">
      <c r="A7" s="20" t="s">
        <v>0</v>
      </c>
      <c r="B7" s="20"/>
      <c r="C7" s="20"/>
      <c r="D7" s="20"/>
      <c r="E7" s="20"/>
      <c r="F7" s="7"/>
      <c r="G7" s="20" t="s">
        <v>1</v>
      </c>
      <c r="H7" s="20"/>
      <c r="I7" s="20"/>
      <c r="J7" s="20"/>
      <c r="K7" s="20"/>
    </row>
    <row r="8" spans="1:11" s="8" customForma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s="8" customFormat="1" x14ac:dyDescent="0.2">
      <c r="A9" s="9"/>
      <c r="B9" s="9"/>
      <c r="C9" s="9"/>
      <c r="D9" s="9" t="s">
        <v>2</v>
      </c>
      <c r="E9" s="9" t="s">
        <v>3</v>
      </c>
      <c r="F9" s="7"/>
      <c r="G9" s="9"/>
      <c r="H9" s="9"/>
      <c r="I9" s="9"/>
      <c r="J9" s="9" t="s">
        <v>2</v>
      </c>
      <c r="K9" s="9" t="s">
        <v>3</v>
      </c>
    </row>
    <row r="10" spans="1:11" s="8" customFormat="1" x14ac:dyDescent="0.2">
      <c r="A10" s="10" t="s">
        <v>4</v>
      </c>
      <c r="B10" s="9" t="s">
        <v>5</v>
      </c>
      <c r="C10" s="9" t="s">
        <v>6</v>
      </c>
      <c r="D10" s="9" t="s">
        <v>7</v>
      </c>
      <c r="E10" s="9" t="s">
        <v>8</v>
      </c>
      <c r="F10" s="7"/>
      <c r="G10" s="10" t="s">
        <v>4</v>
      </c>
      <c r="H10" s="9" t="s">
        <v>5</v>
      </c>
      <c r="I10" s="9" t="s">
        <v>6</v>
      </c>
      <c r="J10" s="9" t="s">
        <v>7</v>
      </c>
      <c r="K10" s="9" t="s">
        <v>8</v>
      </c>
    </row>
    <row r="11" spans="1:11" s="8" customFormat="1" x14ac:dyDescent="0.2">
      <c r="A11" s="10" t="s">
        <v>9</v>
      </c>
      <c r="B11" s="9" t="s">
        <v>10</v>
      </c>
      <c r="C11" s="9" t="s">
        <v>11</v>
      </c>
      <c r="D11" s="9" t="s">
        <v>12</v>
      </c>
      <c r="E11" s="9" t="s">
        <v>13</v>
      </c>
      <c r="F11" s="7"/>
      <c r="G11" s="10" t="s">
        <v>9</v>
      </c>
      <c r="H11" s="9" t="s">
        <v>10</v>
      </c>
      <c r="I11" s="9" t="s">
        <v>11</v>
      </c>
      <c r="J11" s="9" t="s">
        <v>12</v>
      </c>
      <c r="K11" s="9" t="s">
        <v>13</v>
      </c>
    </row>
    <row r="14" spans="1:11" s="8" customFormat="1" x14ac:dyDescent="0.2">
      <c r="A14" s="8" t="s">
        <v>14</v>
      </c>
      <c r="B14" s="8">
        <f>SUM(B16:B25)</f>
        <v>108118</v>
      </c>
      <c r="C14" s="8">
        <f>SUM(C17:C25)</f>
        <v>1568745</v>
      </c>
      <c r="D14" s="11">
        <f>SUM(D16:D25)</f>
        <v>20483512376</v>
      </c>
      <c r="E14" s="12">
        <f>13076/3</f>
        <v>4358.666666666667</v>
      </c>
      <c r="G14" s="8" t="s">
        <v>14</v>
      </c>
      <c r="H14" s="8">
        <f>SUM(H16:H25)</f>
        <v>547</v>
      </c>
      <c r="I14" s="8">
        <f>SUM(I16:I25)</f>
        <v>9173</v>
      </c>
      <c r="J14" s="11">
        <f>SUM(J16:J23)</f>
        <v>201714281</v>
      </c>
      <c r="K14" s="12">
        <f>22188/3</f>
        <v>7396</v>
      </c>
    </row>
    <row r="16" spans="1:11" x14ac:dyDescent="0.2">
      <c r="A16" s="4" t="s">
        <v>15</v>
      </c>
      <c r="B16" s="4">
        <f t="shared" ref="B16:C21" si="0">H16+B38+H38+B68+B116+H116+B137+H137+B166+H166+B187+H187+H215+B215+H236+B236+B264+H68</f>
        <v>15532</v>
      </c>
      <c r="C16" s="4">
        <f t="shared" si="0"/>
        <v>0</v>
      </c>
      <c r="D16" s="4">
        <f t="shared" ref="D16:D21" si="1">SUM(J16,D38,J38,D68,J68,D116,J116,D137,J137,D166,J166,D187,J187,D215,J215,D236,J236,D264)</f>
        <v>92292551</v>
      </c>
      <c r="E16" s="4">
        <f>14150/3</f>
        <v>4716.666666666667</v>
      </c>
      <c r="G16" s="4" t="s">
        <v>15</v>
      </c>
      <c r="H16" s="4">
        <v>89</v>
      </c>
      <c r="I16" s="4">
        <v>0</v>
      </c>
      <c r="J16" s="4">
        <v>434265</v>
      </c>
      <c r="K16" s="4">
        <f>19159/3</f>
        <v>6386.333333333333</v>
      </c>
    </row>
    <row r="17" spans="1:11" x14ac:dyDescent="0.2">
      <c r="A17" s="4" t="s">
        <v>16</v>
      </c>
      <c r="B17" s="4">
        <f t="shared" si="0"/>
        <v>50738</v>
      </c>
      <c r="C17" s="4">
        <f t="shared" si="0"/>
        <v>91413</v>
      </c>
      <c r="D17" s="4">
        <f t="shared" si="1"/>
        <v>1293396354</v>
      </c>
      <c r="E17" s="4">
        <f>14250/3</f>
        <v>4750</v>
      </c>
      <c r="G17" s="4" t="s">
        <v>16</v>
      </c>
      <c r="H17" s="4">
        <v>212</v>
      </c>
      <c r="I17" s="4">
        <v>379</v>
      </c>
      <c r="J17" s="4">
        <v>6834935</v>
      </c>
      <c r="K17" s="4">
        <f>17815/3</f>
        <v>5938.333333333333</v>
      </c>
    </row>
    <row r="18" spans="1:11" x14ac:dyDescent="0.2">
      <c r="A18" s="4" t="s">
        <v>17</v>
      </c>
      <c r="B18" s="4">
        <f t="shared" si="0"/>
        <v>15531</v>
      </c>
      <c r="C18" s="4">
        <f t="shared" si="0"/>
        <v>103638</v>
      </c>
      <c r="D18" s="4">
        <f t="shared" si="1"/>
        <v>1151717386</v>
      </c>
      <c r="E18" s="4">
        <f>11200/3</f>
        <v>3733.3333333333335</v>
      </c>
      <c r="G18" s="4" t="s">
        <v>17</v>
      </c>
      <c r="H18" s="4">
        <v>102</v>
      </c>
      <c r="I18" s="4">
        <v>679</v>
      </c>
      <c r="J18" s="4">
        <v>11376526</v>
      </c>
      <c r="K18" s="4">
        <f>16624/3</f>
        <v>5541.333333333333</v>
      </c>
    </row>
    <row r="19" spans="1:11" x14ac:dyDescent="0.2">
      <c r="A19" s="4" t="s">
        <v>56</v>
      </c>
      <c r="B19" s="4">
        <f t="shared" si="0"/>
        <v>12037</v>
      </c>
      <c r="C19" s="4">
        <f t="shared" si="0"/>
        <v>164180</v>
      </c>
      <c r="D19" s="4">
        <f t="shared" si="1"/>
        <v>1717995206</v>
      </c>
      <c r="E19" s="4">
        <f>10563/3</f>
        <v>3521</v>
      </c>
      <c r="G19" s="4" t="s">
        <v>56</v>
      </c>
      <c r="H19" s="4">
        <v>59</v>
      </c>
      <c r="I19" s="4">
        <v>778</v>
      </c>
      <c r="J19" s="4">
        <v>11850170</v>
      </c>
      <c r="K19" s="4">
        <f>15245/3</f>
        <v>5081.666666666667</v>
      </c>
    </row>
    <row r="20" spans="1:11" x14ac:dyDescent="0.2">
      <c r="A20" s="4" t="s">
        <v>18</v>
      </c>
      <c r="B20" s="4">
        <f t="shared" si="0"/>
        <v>8712</v>
      </c>
      <c r="C20" s="4">
        <f t="shared" si="0"/>
        <v>263829</v>
      </c>
      <c r="D20" s="4">
        <f t="shared" si="1"/>
        <v>2880746002</v>
      </c>
      <c r="E20" s="4">
        <f>10993/3</f>
        <v>3664.3333333333335</v>
      </c>
      <c r="G20" s="4" t="s">
        <v>18</v>
      </c>
      <c r="H20" s="4">
        <v>51</v>
      </c>
      <c r="I20" s="4">
        <v>1511</v>
      </c>
      <c r="J20" s="4">
        <v>31498203</v>
      </c>
      <c r="K20" s="4">
        <f>20841/3</f>
        <v>6947</v>
      </c>
    </row>
    <row r="21" spans="1:11" x14ac:dyDescent="0.2">
      <c r="A21" s="4" t="s">
        <v>19</v>
      </c>
      <c r="B21" s="4">
        <f t="shared" si="0"/>
        <v>3226</v>
      </c>
      <c r="C21" s="4">
        <f t="shared" si="0"/>
        <v>222620</v>
      </c>
      <c r="D21" s="4">
        <f t="shared" si="1"/>
        <v>2636752183</v>
      </c>
      <c r="E21" s="4">
        <f>11880/3</f>
        <v>3960</v>
      </c>
      <c r="G21" s="4" t="s">
        <v>19</v>
      </c>
      <c r="H21" s="4">
        <v>17</v>
      </c>
      <c r="I21" s="4">
        <v>1160</v>
      </c>
      <c r="J21" s="4">
        <v>22914769</v>
      </c>
      <c r="K21" s="4">
        <f>19602/3</f>
        <v>6534</v>
      </c>
    </row>
    <row r="22" spans="1:11" x14ac:dyDescent="0.2">
      <c r="A22" s="4" t="s">
        <v>20</v>
      </c>
      <c r="B22" s="4">
        <v>1683</v>
      </c>
      <c r="C22" s="4">
        <v>247769</v>
      </c>
      <c r="D22" s="4">
        <v>3276978487</v>
      </c>
      <c r="E22" s="4">
        <f>13284/3</f>
        <v>4428</v>
      </c>
      <c r="G22" s="4" t="s">
        <v>20</v>
      </c>
      <c r="H22" s="4">
        <v>10</v>
      </c>
      <c r="I22" s="4">
        <v>1476</v>
      </c>
      <c r="J22" s="4">
        <v>39499920</v>
      </c>
      <c r="K22" s="4">
        <f>28825/3</f>
        <v>9608.3333333333339</v>
      </c>
    </row>
    <row r="23" spans="1:11" x14ac:dyDescent="0.2">
      <c r="A23" s="4" t="s">
        <v>21</v>
      </c>
      <c r="B23" s="4">
        <v>415</v>
      </c>
      <c r="C23" s="5">
        <v>142474</v>
      </c>
      <c r="D23" s="5">
        <v>2171020793</v>
      </c>
      <c r="E23" s="4">
        <f>15252/3</f>
        <v>5084</v>
      </c>
      <c r="G23" s="4" t="s">
        <v>22</v>
      </c>
      <c r="H23" s="4">
        <v>7</v>
      </c>
      <c r="I23" s="4">
        <f>2048+1142</f>
        <v>3190</v>
      </c>
      <c r="J23" s="4">
        <f>50345507+26959986</f>
        <v>77305493</v>
      </c>
      <c r="K23" s="4">
        <f>(50345507+26959986)/(1993+2039+2048+1164+1131+1142)</f>
        <v>8122.8846275086689</v>
      </c>
    </row>
    <row r="24" spans="1:11" x14ac:dyDescent="0.2">
      <c r="A24" s="4" t="s">
        <v>23</v>
      </c>
      <c r="B24" s="4">
        <v>160</v>
      </c>
      <c r="C24" s="5">
        <v>107709</v>
      </c>
      <c r="D24" s="5">
        <v>1702237476</v>
      </c>
      <c r="E24" s="4">
        <f>15875/3</f>
        <v>5291.666666666667</v>
      </c>
    </row>
    <row r="25" spans="1:11" x14ac:dyDescent="0.2">
      <c r="A25" s="4" t="s">
        <v>57</v>
      </c>
      <c r="B25" s="4">
        <v>84</v>
      </c>
      <c r="C25" s="5">
        <v>225113</v>
      </c>
      <c r="D25" s="5">
        <v>3560375938</v>
      </c>
      <c r="E25" s="4">
        <f>15929/3</f>
        <v>5309.666666666667</v>
      </c>
    </row>
    <row r="29" spans="1:11" x14ac:dyDescent="0.2">
      <c r="A29" s="20" t="s">
        <v>25</v>
      </c>
      <c r="B29" s="20"/>
      <c r="C29" s="20"/>
      <c r="D29" s="20"/>
      <c r="E29" s="20"/>
      <c r="F29" s="7"/>
      <c r="G29" s="20" t="s">
        <v>26</v>
      </c>
      <c r="H29" s="20"/>
      <c r="I29" s="20"/>
      <c r="J29" s="20"/>
      <c r="K29" s="20"/>
    </row>
    <row r="30" spans="1:1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x14ac:dyDescent="0.2">
      <c r="A31" s="9"/>
      <c r="B31" s="9"/>
      <c r="C31" s="9"/>
      <c r="D31" s="9" t="s">
        <v>2</v>
      </c>
      <c r="E31" s="9" t="s">
        <v>3</v>
      </c>
      <c r="F31" s="7"/>
      <c r="G31" s="9"/>
      <c r="H31" s="9"/>
      <c r="I31" s="9"/>
      <c r="J31" s="9" t="s">
        <v>2</v>
      </c>
      <c r="K31" s="9" t="s">
        <v>3</v>
      </c>
    </row>
    <row r="32" spans="1:11" x14ac:dyDescent="0.2">
      <c r="A32" s="10" t="s">
        <v>4</v>
      </c>
      <c r="B32" s="9" t="s">
        <v>5</v>
      </c>
      <c r="C32" s="9" t="s">
        <v>6</v>
      </c>
      <c r="D32" s="9" t="s">
        <v>7</v>
      </c>
      <c r="E32" s="9" t="s">
        <v>8</v>
      </c>
      <c r="F32" s="7"/>
      <c r="G32" s="10" t="s">
        <v>4</v>
      </c>
      <c r="H32" s="9" t="s">
        <v>5</v>
      </c>
      <c r="I32" s="9" t="s">
        <v>6</v>
      </c>
      <c r="J32" s="9" t="s">
        <v>7</v>
      </c>
      <c r="K32" s="9" t="s">
        <v>8</v>
      </c>
    </row>
    <row r="33" spans="1:11" x14ac:dyDescent="0.2">
      <c r="A33" s="10" t="s">
        <v>9</v>
      </c>
      <c r="B33" s="9" t="s">
        <v>10</v>
      </c>
      <c r="C33" s="9" t="s">
        <v>11</v>
      </c>
      <c r="D33" s="9" t="s">
        <v>12</v>
      </c>
      <c r="E33" s="9" t="s">
        <v>13</v>
      </c>
      <c r="F33" s="7"/>
      <c r="G33" s="10" t="s">
        <v>9</v>
      </c>
      <c r="H33" s="9" t="s">
        <v>10</v>
      </c>
      <c r="I33" s="9" t="s">
        <v>11</v>
      </c>
      <c r="J33" s="9" t="s">
        <v>12</v>
      </c>
      <c r="K33" s="9" t="s">
        <v>13</v>
      </c>
    </row>
    <row r="36" spans="1:11" s="8" customFormat="1" x14ac:dyDescent="0.2">
      <c r="A36" s="8" t="s">
        <v>27</v>
      </c>
      <c r="B36" s="8">
        <f>SUM(B38:B46)</f>
        <v>240</v>
      </c>
      <c r="C36" s="8">
        <f>SUM(C38:C46)</f>
        <v>3763</v>
      </c>
      <c r="D36" s="11">
        <f>SUM(D38:D44)</f>
        <v>104733698</v>
      </c>
      <c r="E36" s="12">
        <f>27855/3</f>
        <v>9285</v>
      </c>
      <c r="G36" s="8" t="s">
        <v>14</v>
      </c>
      <c r="H36" s="8">
        <f>SUM(H38:H47)</f>
        <v>12491</v>
      </c>
      <c r="I36" s="8">
        <f>SUM(I38:I47)</f>
        <v>111408</v>
      </c>
      <c r="J36" s="11">
        <f>SUM(J38:J46)</f>
        <v>1504549733</v>
      </c>
      <c r="K36" s="12">
        <f>13688/3</f>
        <v>4562.666666666667</v>
      </c>
    </row>
    <row r="37" spans="1:11" x14ac:dyDescent="0.2">
      <c r="A37" s="4" t="s">
        <v>28</v>
      </c>
      <c r="B37" s="4" t="s">
        <v>28</v>
      </c>
    </row>
    <row r="38" spans="1:11" x14ac:dyDescent="0.2">
      <c r="A38" s="4" t="s">
        <v>15</v>
      </c>
      <c r="B38" s="4">
        <v>23</v>
      </c>
      <c r="C38" s="4">
        <v>0</v>
      </c>
      <c r="D38" s="4">
        <v>62621</v>
      </c>
      <c r="E38" s="4">
        <f>6478/3</f>
        <v>2159.3333333333335</v>
      </c>
      <c r="G38" s="4" t="s">
        <v>15</v>
      </c>
      <c r="H38" s="4">
        <v>1957</v>
      </c>
      <c r="I38" s="4">
        <v>0</v>
      </c>
      <c r="J38" s="4">
        <v>8391298</v>
      </c>
      <c r="K38" s="4">
        <f>10680/3</f>
        <v>3560</v>
      </c>
    </row>
    <row r="39" spans="1:11" x14ac:dyDescent="0.2">
      <c r="A39" s="4" t="s">
        <v>16</v>
      </c>
      <c r="B39" s="4">
        <v>119</v>
      </c>
      <c r="C39" s="4">
        <v>247</v>
      </c>
      <c r="D39" s="4">
        <v>4174104</v>
      </c>
      <c r="E39" s="4">
        <f>16854/3</f>
        <v>5618</v>
      </c>
      <c r="G39" s="4" t="s">
        <v>16</v>
      </c>
      <c r="H39" s="4">
        <v>6042</v>
      </c>
      <c r="I39" s="4">
        <v>12488</v>
      </c>
      <c r="J39" s="4">
        <v>120279397</v>
      </c>
      <c r="K39" s="4">
        <f>9829/3</f>
        <v>3276.3333333333335</v>
      </c>
    </row>
    <row r="40" spans="1:11" x14ac:dyDescent="0.2">
      <c r="A40" s="4" t="s">
        <v>17</v>
      </c>
      <c r="B40" s="4">
        <v>34</v>
      </c>
      <c r="C40" s="4">
        <v>231</v>
      </c>
      <c r="D40" s="4">
        <v>18342950</v>
      </c>
      <c r="E40" s="4">
        <f>81888/3</f>
        <v>27296</v>
      </c>
      <c r="G40" s="4" t="s">
        <v>17</v>
      </c>
      <c r="H40" s="4">
        <v>2082</v>
      </c>
      <c r="I40" s="4">
        <v>13682</v>
      </c>
      <c r="J40" s="4">
        <v>134789996</v>
      </c>
      <c r="K40" s="4">
        <f>10085/3</f>
        <v>3361.6666666666665</v>
      </c>
    </row>
    <row r="41" spans="1:11" x14ac:dyDescent="0.2">
      <c r="A41" s="4" t="s">
        <v>56</v>
      </c>
      <c r="B41" s="4">
        <v>27</v>
      </c>
      <c r="C41" s="4">
        <v>363</v>
      </c>
      <c r="D41" s="4">
        <v>6496346</v>
      </c>
      <c r="E41" s="4">
        <f>18543/3</f>
        <v>6181</v>
      </c>
      <c r="G41" s="4" t="s">
        <v>56</v>
      </c>
      <c r="H41" s="4">
        <v>1260</v>
      </c>
      <c r="I41" s="4">
        <v>16955</v>
      </c>
      <c r="J41" s="4">
        <v>200758098</v>
      </c>
      <c r="K41" s="4">
        <f>12045/3</f>
        <v>4015</v>
      </c>
    </row>
    <row r="42" spans="1:11" x14ac:dyDescent="0.2">
      <c r="A42" s="4" t="s">
        <v>18</v>
      </c>
      <c r="B42" s="4">
        <v>20</v>
      </c>
      <c r="C42" s="4">
        <v>543</v>
      </c>
      <c r="D42" s="4">
        <v>13407269</v>
      </c>
      <c r="E42" s="4">
        <f>25013/3</f>
        <v>8337.6666666666661</v>
      </c>
      <c r="G42" s="4" t="s">
        <v>18</v>
      </c>
      <c r="H42" s="4">
        <v>806</v>
      </c>
      <c r="I42" s="4">
        <v>24280</v>
      </c>
      <c r="J42" s="4">
        <v>303933365</v>
      </c>
      <c r="K42" s="4">
        <f>12750/3</f>
        <v>4250</v>
      </c>
    </row>
    <row r="43" spans="1:11" x14ac:dyDescent="0.2">
      <c r="A43" s="4" t="s">
        <v>19</v>
      </c>
      <c r="B43" s="4">
        <v>8</v>
      </c>
      <c r="C43" s="4">
        <v>549</v>
      </c>
      <c r="D43" s="4">
        <v>13952004</v>
      </c>
      <c r="E43" s="4">
        <f>25321/3</f>
        <v>8440.3333333333339</v>
      </c>
      <c r="G43" s="4" t="s">
        <v>19</v>
      </c>
      <c r="H43" s="4">
        <v>221</v>
      </c>
      <c r="I43" s="4">
        <v>14569</v>
      </c>
      <c r="J43" s="4">
        <v>216694952</v>
      </c>
      <c r="K43" s="4">
        <f>15376/3</f>
        <v>5125.333333333333</v>
      </c>
    </row>
    <row r="44" spans="1:11" x14ac:dyDescent="0.2">
      <c r="A44" s="4" t="s">
        <v>38</v>
      </c>
      <c r="B44" s="4">
        <v>9</v>
      </c>
      <c r="C44" s="4">
        <f>948+371+511</f>
        <v>1830</v>
      </c>
      <c r="D44" s="4">
        <f>27759402+9728905+10810097</f>
        <v>48298404</v>
      </c>
      <c r="E44" s="4">
        <f>D44/(519+514+511+371+373+376+955+957+948)</f>
        <v>8743.3750905141205</v>
      </c>
      <c r="G44" s="4" t="s">
        <v>20</v>
      </c>
      <c r="H44" s="4">
        <v>93</v>
      </c>
      <c r="I44" s="4">
        <v>13119</v>
      </c>
      <c r="J44" s="4">
        <v>192786009</v>
      </c>
      <c r="K44" s="4">
        <f>15005/3</f>
        <v>5001.666666666667</v>
      </c>
    </row>
    <row r="45" spans="1:11" x14ac:dyDescent="0.2">
      <c r="B45" s="4" t="s">
        <v>28</v>
      </c>
      <c r="C45" s="5"/>
      <c r="D45" s="5"/>
      <c r="G45" s="4" t="s">
        <v>21</v>
      </c>
      <c r="H45" s="4">
        <v>24</v>
      </c>
      <c r="I45" s="4">
        <v>8332</v>
      </c>
      <c r="J45" s="4">
        <v>168720956</v>
      </c>
      <c r="K45" s="4">
        <f>20900/3</f>
        <v>6966.666666666667</v>
      </c>
    </row>
    <row r="46" spans="1:11" x14ac:dyDescent="0.2">
      <c r="C46" s="5"/>
      <c r="D46" s="5"/>
      <c r="G46" s="4" t="s">
        <v>31</v>
      </c>
      <c r="H46" s="4">
        <f>4+2</f>
        <v>6</v>
      </c>
      <c r="I46" s="4">
        <f>3062+4921</f>
        <v>7983</v>
      </c>
      <c r="J46" s="4">
        <f>52472907+105722755</f>
        <v>158195662</v>
      </c>
      <c r="K46" s="4">
        <f>J46/(3076+4964+3012+4999+3062+4921)</f>
        <v>6582.1611883165515</v>
      </c>
    </row>
    <row r="47" spans="1:11" x14ac:dyDescent="0.2">
      <c r="C47" s="5"/>
      <c r="D47" s="5"/>
      <c r="I47" s="4" t="s">
        <v>28</v>
      </c>
    </row>
    <row r="50" spans="1:11" x14ac:dyDescent="0.2">
      <c r="A50" s="4" t="s">
        <v>66</v>
      </c>
    </row>
    <row r="53" spans="1:11" x14ac:dyDescent="0.2">
      <c r="A53" s="8"/>
      <c r="B53" s="8"/>
      <c r="C53" s="8"/>
      <c r="D53" s="11"/>
      <c r="E53" s="12"/>
      <c r="F53" s="8"/>
      <c r="G53" s="8"/>
      <c r="H53" s="8"/>
      <c r="I53" s="8"/>
      <c r="J53" s="11"/>
      <c r="K53" s="8"/>
    </row>
    <row r="56" spans="1:11" x14ac:dyDescent="0.2">
      <c r="A56" s="21" t="s">
        <v>65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 x14ac:dyDescent="0.2">
      <c r="A57" s="21" t="s">
        <v>63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">
      <c r="A59" s="20" t="s">
        <v>29</v>
      </c>
      <c r="B59" s="20"/>
      <c r="C59" s="20"/>
      <c r="D59" s="20"/>
      <c r="E59" s="20"/>
      <c r="F59" s="7"/>
      <c r="G59" s="20" t="s">
        <v>30</v>
      </c>
      <c r="H59" s="20"/>
      <c r="I59" s="20"/>
      <c r="J59" s="20"/>
      <c r="K59" s="20"/>
    </row>
    <row r="60" spans="1:1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x14ac:dyDescent="0.2">
      <c r="A61" s="9"/>
      <c r="B61" s="9"/>
      <c r="C61" s="9"/>
      <c r="D61" s="9" t="s">
        <v>2</v>
      </c>
      <c r="E61" s="9" t="s">
        <v>3</v>
      </c>
      <c r="F61" s="7"/>
      <c r="G61" s="9"/>
      <c r="H61" s="9"/>
      <c r="I61" s="9"/>
      <c r="J61" s="9" t="s">
        <v>2</v>
      </c>
      <c r="K61" s="9" t="s">
        <v>3</v>
      </c>
    </row>
    <row r="62" spans="1:11" x14ac:dyDescent="0.2">
      <c r="A62" s="10" t="s">
        <v>4</v>
      </c>
      <c r="B62" s="9" t="s">
        <v>5</v>
      </c>
      <c r="C62" s="9" t="s">
        <v>6</v>
      </c>
      <c r="D62" s="9" t="s">
        <v>7</v>
      </c>
      <c r="E62" s="9" t="s">
        <v>8</v>
      </c>
      <c r="F62" s="7"/>
      <c r="G62" s="10" t="s">
        <v>4</v>
      </c>
      <c r="H62" s="9" t="s">
        <v>5</v>
      </c>
      <c r="I62" s="9" t="s">
        <v>6</v>
      </c>
      <c r="J62" s="9" t="s">
        <v>7</v>
      </c>
      <c r="K62" s="9" t="s">
        <v>8</v>
      </c>
    </row>
    <row r="63" spans="1:11" x14ac:dyDescent="0.2">
      <c r="A63" s="10" t="s">
        <v>9</v>
      </c>
      <c r="B63" s="9" t="s">
        <v>10</v>
      </c>
      <c r="C63" s="9" t="s">
        <v>11</v>
      </c>
      <c r="D63" s="9" t="s">
        <v>12</v>
      </c>
      <c r="E63" s="9" t="s">
        <v>13</v>
      </c>
      <c r="F63" s="7"/>
      <c r="G63" s="10" t="s">
        <v>9</v>
      </c>
      <c r="H63" s="9" t="s">
        <v>10</v>
      </c>
      <c r="I63" s="9" t="s">
        <v>11</v>
      </c>
      <c r="J63" s="9" t="s">
        <v>12</v>
      </c>
      <c r="K63" s="9" t="s">
        <v>13</v>
      </c>
    </row>
    <row r="66" spans="1:14" s="8" customFormat="1" x14ac:dyDescent="0.2">
      <c r="A66" s="8" t="s">
        <v>14</v>
      </c>
      <c r="B66" s="8">
        <f>SUM(B67:B77)</f>
        <v>4501</v>
      </c>
      <c r="C66" s="8">
        <f>SUM(C67:C77)</f>
        <v>136807</v>
      </c>
      <c r="D66" s="11">
        <f>SUM( D68:D77)</f>
        <v>2126288728</v>
      </c>
      <c r="E66" s="12">
        <f>15546/3</f>
        <v>5182</v>
      </c>
      <c r="G66" s="8" t="s">
        <v>27</v>
      </c>
      <c r="H66" s="8">
        <f>SUM(H67:H77)</f>
        <v>17048</v>
      </c>
      <c r="I66" s="8">
        <f>SUM(I67:I77)</f>
        <v>221099</v>
      </c>
      <c r="J66" s="11">
        <f>SUM(J68:J77)</f>
        <v>2508126750</v>
      </c>
      <c r="K66" s="12">
        <f>11326/3</f>
        <v>3775.3333333333335</v>
      </c>
    </row>
    <row r="67" spans="1:14" x14ac:dyDescent="0.2">
      <c r="G67" s="4" t="s">
        <v>28</v>
      </c>
    </row>
    <row r="68" spans="1:14" x14ac:dyDescent="0.2">
      <c r="A68" s="4" t="s">
        <v>15</v>
      </c>
      <c r="B68" s="4">
        <v>413</v>
      </c>
      <c r="C68" s="4">
        <v>0</v>
      </c>
      <c r="D68" s="4">
        <v>17825865</v>
      </c>
      <c r="E68" s="4">
        <f>46583/3</f>
        <v>15527.666666666666</v>
      </c>
      <c r="G68" s="4" t="s">
        <v>15</v>
      </c>
      <c r="H68" s="4">
        <f t="shared" ref="H68:J77" si="2">+B89+H89</f>
        <v>2394</v>
      </c>
      <c r="I68" s="4">
        <f t="shared" si="2"/>
        <v>0</v>
      </c>
      <c r="J68" s="4">
        <f t="shared" si="2"/>
        <v>9398455</v>
      </c>
      <c r="K68" s="4">
        <f>11537/3</f>
        <v>3845.6666666666665</v>
      </c>
    </row>
    <row r="69" spans="1:14" x14ac:dyDescent="0.2">
      <c r="A69" s="4" t="s">
        <v>16</v>
      </c>
      <c r="B69" s="4">
        <v>1697</v>
      </c>
      <c r="C69" s="4">
        <v>3350</v>
      </c>
      <c r="D69" s="4">
        <v>50454492</v>
      </c>
      <c r="E69" s="4">
        <f>15094/3</f>
        <v>5031.333333333333</v>
      </c>
      <c r="G69" s="4" t="s">
        <v>16</v>
      </c>
      <c r="H69" s="4">
        <f t="shared" si="2"/>
        <v>6844</v>
      </c>
      <c r="I69" s="4">
        <f t="shared" si="2"/>
        <v>13167</v>
      </c>
      <c r="J69" s="4">
        <f t="shared" si="2"/>
        <v>214474350</v>
      </c>
      <c r="K69" s="4">
        <f>16247/3</f>
        <v>5415.666666666667</v>
      </c>
    </row>
    <row r="70" spans="1:14" x14ac:dyDescent="0.2">
      <c r="A70" s="4" t="s">
        <v>17</v>
      </c>
      <c r="B70" s="4">
        <v>714</v>
      </c>
      <c r="C70" s="4">
        <v>4825</v>
      </c>
      <c r="D70" s="4">
        <v>49629367</v>
      </c>
      <c r="E70" s="4">
        <f>10324/3</f>
        <v>3441.3333333333335</v>
      </c>
      <c r="G70" s="4" t="s">
        <v>17</v>
      </c>
      <c r="H70" s="4">
        <f t="shared" si="2"/>
        <v>3051</v>
      </c>
      <c r="I70" s="4">
        <f t="shared" si="2"/>
        <v>20626</v>
      </c>
      <c r="J70" s="4">
        <f t="shared" si="2"/>
        <v>210099307</v>
      </c>
      <c r="K70" s="4">
        <f>10157/3</f>
        <v>3385.6666666666665</v>
      </c>
    </row>
    <row r="71" spans="1:14" x14ac:dyDescent="0.2">
      <c r="A71" s="4" t="s">
        <v>56</v>
      </c>
      <c r="B71" s="4">
        <v>615</v>
      </c>
      <c r="C71" s="4">
        <v>8549</v>
      </c>
      <c r="D71" s="4">
        <v>96812156</v>
      </c>
      <c r="E71" s="4">
        <f>11339/3</f>
        <v>3779.6666666666665</v>
      </c>
      <c r="G71" s="4" t="s">
        <v>56</v>
      </c>
      <c r="H71" s="4">
        <f t="shared" si="2"/>
        <v>2507</v>
      </c>
      <c r="I71" s="4">
        <f t="shared" si="2"/>
        <v>33710</v>
      </c>
      <c r="J71" s="4">
        <f t="shared" si="2"/>
        <v>340660831</v>
      </c>
      <c r="K71" s="4">
        <f>10138/3</f>
        <v>3379.3333333333335</v>
      </c>
    </row>
    <row r="72" spans="1:14" x14ac:dyDescent="0.2">
      <c r="A72" s="4" t="s">
        <v>18</v>
      </c>
      <c r="B72" s="4">
        <v>564</v>
      </c>
      <c r="C72" s="4">
        <v>17579</v>
      </c>
      <c r="D72" s="4">
        <v>213144092</v>
      </c>
      <c r="E72" s="4">
        <f>12153/3</f>
        <v>4051</v>
      </c>
      <c r="G72" s="4" t="s">
        <v>18</v>
      </c>
      <c r="H72" s="4">
        <f t="shared" si="2"/>
        <v>1436</v>
      </c>
      <c r="I72" s="4">
        <f t="shared" si="2"/>
        <v>42296</v>
      </c>
      <c r="J72" s="4">
        <f t="shared" si="2"/>
        <v>457184926</v>
      </c>
      <c r="K72" s="4">
        <f>10865/3</f>
        <v>3621.6666666666665</v>
      </c>
    </row>
    <row r="73" spans="1:14" x14ac:dyDescent="0.2">
      <c r="A73" s="4" t="s">
        <v>19</v>
      </c>
      <c r="B73" s="4">
        <v>236</v>
      </c>
      <c r="C73" s="4">
        <v>16532</v>
      </c>
      <c r="D73" s="4">
        <v>223585739</v>
      </c>
      <c r="E73" s="4">
        <f>13563/3</f>
        <v>4521</v>
      </c>
      <c r="G73" s="4" t="s">
        <v>19</v>
      </c>
      <c r="H73" s="4">
        <f t="shared" si="2"/>
        <v>407</v>
      </c>
      <c r="I73" s="4">
        <f t="shared" si="2"/>
        <v>28314</v>
      </c>
      <c r="J73" s="4">
        <f t="shared" si="2"/>
        <v>317649034</v>
      </c>
      <c r="K73" s="4">
        <f>11213/3</f>
        <v>3737.6666666666665</v>
      </c>
    </row>
    <row r="74" spans="1:14" x14ac:dyDescent="0.2">
      <c r="A74" s="4" t="s">
        <v>20</v>
      </c>
      <c r="B74" s="4">
        <v>163</v>
      </c>
      <c r="C74" s="4">
        <v>25452</v>
      </c>
      <c r="D74" s="4">
        <v>379034747</v>
      </c>
      <c r="E74" s="4">
        <f>15013/3</f>
        <v>5004.333333333333</v>
      </c>
      <c r="G74" s="4" t="s">
        <v>20</v>
      </c>
      <c r="H74" s="4">
        <f>+B95+H95</f>
        <v>323</v>
      </c>
      <c r="I74" s="4">
        <f t="shared" si="2"/>
        <v>47314</v>
      </c>
      <c r="J74" s="4">
        <f t="shared" si="2"/>
        <v>498034947</v>
      </c>
      <c r="K74" s="4">
        <f>10592/3</f>
        <v>3530.6666666666665</v>
      </c>
    </row>
    <row r="75" spans="1:14" s="5" customFormat="1" x14ac:dyDescent="0.2">
      <c r="A75" s="4" t="s">
        <v>21</v>
      </c>
      <c r="B75" s="4">
        <v>62</v>
      </c>
      <c r="C75" s="5">
        <v>22313</v>
      </c>
      <c r="D75" s="5">
        <v>383929527</v>
      </c>
      <c r="E75" s="4">
        <f>17294/3</f>
        <v>5764.666666666667</v>
      </c>
      <c r="F75" s="4"/>
      <c r="G75" s="4" t="s">
        <v>21</v>
      </c>
      <c r="H75" s="4">
        <f t="shared" ref="H75:H77" si="3">+B96+H96</f>
        <v>76</v>
      </c>
      <c r="I75" s="4">
        <f t="shared" si="2"/>
        <v>25561</v>
      </c>
      <c r="J75" s="4">
        <f t="shared" si="2"/>
        <v>296638758</v>
      </c>
      <c r="K75" s="4">
        <f>11595/3</f>
        <v>3865</v>
      </c>
      <c r="L75" s="14"/>
      <c r="M75" s="14"/>
      <c r="N75" s="14"/>
    </row>
    <row r="76" spans="1:14" s="5" customFormat="1" x14ac:dyDescent="0.2">
      <c r="A76" s="4" t="s">
        <v>23</v>
      </c>
      <c r="B76" s="4">
        <v>21</v>
      </c>
      <c r="C76" s="5">
        <v>14015</v>
      </c>
      <c r="D76" s="5">
        <v>242973868</v>
      </c>
      <c r="E76" s="4">
        <f>17308/3</f>
        <v>5769.333333333333</v>
      </c>
      <c r="F76" s="4"/>
      <c r="G76" s="4" t="s">
        <v>23</v>
      </c>
      <c r="H76" s="4">
        <f t="shared" si="3"/>
        <v>7</v>
      </c>
      <c r="I76" s="4">
        <f t="shared" si="2"/>
        <v>5014</v>
      </c>
      <c r="J76" s="4">
        <f t="shared" si="2"/>
        <v>87979581</v>
      </c>
      <c r="K76" s="4">
        <f>17555/3</f>
        <v>5851.666666666667</v>
      </c>
      <c r="L76" s="14"/>
      <c r="M76" s="14"/>
      <c r="N76" s="14"/>
    </row>
    <row r="77" spans="1:14" x14ac:dyDescent="0.2">
      <c r="A77" s="4" t="s">
        <v>24</v>
      </c>
      <c r="B77" s="4">
        <v>16</v>
      </c>
      <c r="C77" s="5">
        <v>24192</v>
      </c>
      <c r="D77" s="5">
        <v>468898875</v>
      </c>
      <c r="E77" s="4">
        <f>19383/3</f>
        <v>6461</v>
      </c>
      <c r="G77" s="4" t="s">
        <v>24</v>
      </c>
      <c r="H77" s="4">
        <f t="shared" si="3"/>
        <v>3</v>
      </c>
      <c r="I77" s="4">
        <f t="shared" si="2"/>
        <v>5097</v>
      </c>
      <c r="J77" s="4">
        <f t="shared" si="2"/>
        <v>76006561</v>
      </c>
      <c r="K77" s="4">
        <f>14866/3</f>
        <v>4955.333333333333</v>
      </c>
    </row>
    <row r="78" spans="1:14" x14ac:dyDescent="0.2">
      <c r="L78" s="8"/>
    </row>
    <row r="80" spans="1:14" x14ac:dyDescent="0.2">
      <c r="A80" s="20" t="s">
        <v>32</v>
      </c>
      <c r="B80" s="20"/>
      <c r="C80" s="20"/>
      <c r="D80" s="20"/>
      <c r="E80" s="20"/>
      <c r="F80" s="7"/>
      <c r="G80" s="20" t="s">
        <v>33</v>
      </c>
      <c r="H80" s="20"/>
      <c r="I80" s="20"/>
      <c r="J80" s="20"/>
      <c r="K80" s="20"/>
    </row>
    <row r="81" spans="1:12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1:12" x14ac:dyDescent="0.2">
      <c r="A82" s="9"/>
      <c r="B82" s="9"/>
      <c r="C82" s="9"/>
      <c r="D82" s="9" t="s">
        <v>2</v>
      </c>
      <c r="E82" s="9" t="s">
        <v>3</v>
      </c>
      <c r="F82" s="7"/>
      <c r="G82" s="9"/>
      <c r="H82" s="9"/>
      <c r="I82" s="9"/>
      <c r="J82" s="9" t="s">
        <v>2</v>
      </c>
      <c r="K82" s="9" t="s">
        <v>3</v>
      </c>
    </row>
    <row r="83" spans="1:12" x14ac:dyDescent="0.2">
      <c r="A83" s="10" t="s">
        <v>4</v>
      </c>
      <c r="B83" s="9" t="s">
        <v>5</v>
      </c>
      <c r="C83" s="9" t="s">
        <v>6</v>
      </c>
      <c r="D83" s="9" t="s">
        <v>7</v>
      </c>
      <c r="E83" s="9" t="s">
        <v>8</v>
      </c>
      <c r="F83" s="7"/>
      <c r="G83" s="10" t="s">
        <v>4</v>
      </c>
      <c r="H83" s="9" t="s">
        <v>5</v>
      </c>
      <c r="I83" s="9" t="s">
        <v>6</v>
      </c>
      <c r="J83" s="9" t="s">
        <v>7</v>
      </c>
      <c r="K83" s="9" t="s">
        <v>8</v>
      </c>
    </row>
    <row r="84" spans="1:12" x14ac:dyDescent="0.2">
      <c r="A84" s="10" t="s">
        <v>9</v>
      </c>
      <c r="B84" s="9" t="s">
        <v>10</v>
      </c>
      <c r="C84" s="9" t="s">
        <v>11</v>
      </c>
      <c r="D84" s="9" t="s">
        <v>12</v>
      </c>
      <c r="E84" s="9" t="s">
        <v>13</v>
      </c>
      <c r="F84" s="7"/>
      <c r="G84" s="10" t="s">
        <v>9</v>
      </c>
      <c r="H84" s="9" t="s">
        <v>10</v>
      </c>
      <c r="I84" s="9" t="s">
        <v>11</v>
      </c>
      <c r="J84" s="9" t="s">
        <v>12</v>
      </c>
      <c r="K84" s="9" t="s">
        <v>13</v>
      </c>
    </row>
    <row r="87" spans="1:12" s="8" customFormat="1" x14ac:dyDescent="0.2">
      <c r="A87" s="8" t="s">
        <v>27</v>
      </c>
      <c r="B87" s="8">
        <f>SUM(B89:B97)</f>
        <v>6269</v>
      </c>
      <c r="C87" s="8">
        <f>SUM(C89:C97)</f>
        <v>52878</v>
      </c>
      <c r="D87" s="11">
        <f>SUM(D89:D97)</f>
        <v>999915614</v>
      </c>
      <c r="E87" s="12">
        <f>18938/3</f>
        <v>6312.666666666667</v>
      </c>
      <c r="G87" s="8" t="s">
        <v>27</v>
      </c>
      <c r="H87" s="8">
        <f>SUM(H89:H98)</f>
        <v>10779</v>
      </c>
      <c r="I87" s="8">
        <f>SUM(I89:I98)</f>
        <v>168221</v>
      </c>
      <c r="J87" s="11">
        <f>SUM(J89:J98)</f>
        <v>1508211136</v>
      </c>
      <c r="K87" s="12">
        <f>8943/3</f>
        <v>2981</v>
      </c>
      <c r="L87" s="14"/>
    </row>
    <row r="88" spans="1:12" x14ac:dyDescent="0.2">
      <c r="A88" s="4" t="s">
        <v>28</v>
      </c>
      <c r="G88" s="4" t="s">
        <v>28</v>
      </c>
      <c r="L88" s="14"/>
    </row>
    <row r="89" spans="1:12" x14ac:dyDescent="0.2">
      <c r="A89" s="4" t="s">
        <v>15</v>
      </c>
      <c r="B89" s="4">
        <v>710</v>
      </c>
      <c r="C89" s="4">
        <v>0</v>
      </c>
      <c r="D89" s="4">
        <v>4617758</v>
      </c>
      <c r="E89" s="4">
        <f>16222/3</f>
        <v>5407.333333333333</v>
      </c>
      <c r="G89" s="4" t="s">
        <v>15</v>
      </c>
      <c r="H89" s="4">
        <v>1684</v>
      </c>
      <c r="I89" s="4">
        <v>0</v>
      </c>
      <c r="J89" s="4">
        <v>4780697</v>
      </c>
      <c r="K89" s="4">
        <f>9020/3</f>
        <v>3006.6666666666665</v>
      </c>
    </row>
    <row r="90" spans="1:12" s="5" customFormat="1" x14ac:dyDescent="0.2">
      <c r="A90" s="4" t="s">
        <v>16</v>
      </c>
      <c r="B90" s="4">
        <v>3553</v>
      </c>
      <c r="C90" s="4">
        <v>6035</v>
      </c>
      <c r="D90" s="4">
        <v>148361133</v>
      </c>
      <c r="E90" s="4">
        <f>24714/3</f>
        <v>8238</v>
      </c>
      <c r="F90" s="4"/>
      <c r="G90" s="4" t="s">
        <v>16</v>
      </c>
      <c r="H90" s="4">
        <v>3291</v>
      </c>
      <c r="I90" s="4">
        <v>7132</v>
      </c>
      <c r="J90" s="4">
        <v>66113217</v>
      </c>
      <c r="K90" s="4">
        <f>9185/3</f>
        <v>3061.6666666666665</v>
      </c>
    </row>
    <row r="91" spans="1:12" x14ac:dyDescent="0.2">
      <c r="A91" s="4" t="s">
        <v>17</v>
      </c>
      <c r="B91" s="4">
        <v>821</v>
      </c>
      <c r="C91" s="4">
        <v>5514</v>
      </c>
      <c r="D91" s="4">
        <v>101542795</v>
      </c>
      <c r="E91" s="4">
        <f>18535/3</f>
        <v>6178.333333333333</v>
      </c>
      <c r="G91" s="4" t="s">
        <v>17</v>
      </c>
      <c r="H91" s="4">
        <v>2230</v>
      </c>
      <c r="I91" s="4">
        <v>15112</v>
      </c>
      <c r="J91" s="4">
        <v>108556512</v>
      </c>
      <c r="K91" s="4">
        <f>7139/3</f>
        <v>2379.6666666666665</v>
      </c>
    </row>
    <row r="92" spans="1:12" x14ac:dyDescent="0.2">
      <c r="A92" s="4" t="s">
        <v>56</v>
      </c>
      <c r="B92" s="4">
        <v>603</v>
      </c>
      <c r="C92" s="4">
        <v>8203</v>
      </c>
      <c r="D92" s="4">
        <v>151354527</v>
      </c>
      <c r="E92" s="4">
        <f>18682/3</f>
        <v>6227.333333333333</v>
      </c>
      <c r="G92" s="4" t="s">
        <v>56</v>
      </c>
      <c r="H92" s="4">
        <v>1904</v>
      </c>
      <c r="I92" s="4">
        <v>25507</v>
      </c>
      <c r="J92" s="4">
        <v>189306304</v>
      </c>
      <c r="K92" s="4">
        <f>7423/3</f>
        <v>2474.3333333333335</v>
      </c>
    </row>
    <row r="93" spans="1:12" x14ac:dyDescent="0.2">
      <c r="A93" s="4" t="s">
        <v>18</v>
      </c>
      <c r="B93" s="4">
        <v>409</v>
      </c>
      <c r="C93" s="4">
        <v>12219</v>
      </c>
      <c r="D93" s="4">
        <v>229074020</v>
      </c>
      <c r="E93" s="4">
        <f>18995/3</f>
        <v>6331.666666666667</v>
      </c>
      <c r="G93" s="4" t="s">
        <v>18</v>
      </c>
      <c r="H93" s="4">
        <v>1027</v>
      </c>
      <c r="I93" s="4">
        <v>30077</v>
      </c>
      <c r="J93" s="4">
        <v>228110906</v>
      </c>
      <c r="K93" s="4">
        <f>7598/3</f>
        <v>2532.6666666666665</v>
      </c>
    </row>
    <row r="94" spans="1:12" x14ac:dyDescent="0.2">
      <c r="A94" s="4" t="s">
        <v>19</v>
      </c>
      <c r="B94" s="4">
        <v>110</v>
      </c>
      <c r="C94" s="4">
        <v>7677</v>
      </c>
      <c r="D94" s="4">
        <v>127099443</v>
      </c>
      <c r="E94" s="4">
        <f>16732/3</f>
        <v>5577.333333333333</v>
      </c>
      <c r="G94" s="4" t="s">
        <v>19</v>
      </c>
      <c r="H94" s="4">
        <v>297</v>
      </c>
      <c r="I94" s="4">
        <v>20637</v>
      </c>
      <c r="J94" s="4">
        <v>190549591</v>
      </c>
      <c r="K94" s="4">
        <f>9191/3</f>
        <v>3063.6666666666665</v>
      </c>
    </row>
    <row r="95" spans="1:12" x14ac:dyDescent="0.2">
      <c r="A95" s="4" t="s">
        <v>20</v>
      </c>
      <c r="B95" s="4">
        <v>49</v>
      </c>
      <c r="C95" s="4">
        <v>6896</v>
      </c>
      <c r="D95" s="4">
        <v>111743181</v>
      </c>
      <c r="E95" s="4">
        <f>16257/3</f>
        <v>5419</v>
      </c>
      <c r="G95" s="4" t="s">
        <v>20</v>
      </c>
      <c r="H95" s="4">
        <v>274</v>
      </c>
      <c r="I95" s="4">
        <v>40418</v>
      </c>
      <c r="J95" s="4">
        <v>386291766</v>
      </c>
      <c r="K95" s="4">
        <f>9622/3</f>
        <v>3207.3333333333335</v>
      </c>
    </row>
    <row r="96" spans="1:12" x14ac:dyDescent="0.2">
      <c r="A96" s="4" t="s">
        <v>21</v>
      </c>
      <c r="B96" s="4">
        <v>11</v>
      </c>
      <c r="C96" s="5">
        <v>3978</v>
      </c>
      <c r="D96" s="5">
        <v>84345323</v>
      </c>
      <c r="E96" s="4">
        <f>20730/3</f>
        <v>6910</v>
      </c>
      <c r="G96" s="4" t="s">
        <v>21</v>
      </c>
      <c r="H96" s="4">
        <v>65</v>
      </c>
      <c r="I96" s="4">
        <v>21583</v>
      </c>
      <c r="J96" s="4">
        <v>212293435</v>
      </c>
      <c r="K96" s="4">
        <f>9867/3</f>
        <v>3289</v>
      </c>
    </row>
    <row r="97" spans="1:12" x14ac:dyDescent="0.2">
      <c r="A97" s="4" t="s">
        <v>31</v>
      </c>
      <c r="B97" s="4">
        <v>3</v>
      </c>
      <c r="C97" s="5">
        <v>2356</v>
      </c>
      <c r="D97" s="5">
        <v>41777434</v>
      </c>
      <c r="E97" s="4">
        <f>17910/3</f>
        <v>5970</v>
      </c>
      <c r="G97" s="4" t="s">
        <v>23</v>
      </c>
      <c r="H97" s="4">
        <v>4</v>
      </c>
      <c r="I97" s="4">
        <v>2658</v>
      </c>
      <c r="J97" s="4">
        <v>46202147</v>
      </c>
      <c r="K97" s="4">
        <f>17246/3</f>
        <v>5748.666666666667</v>
      </c>
    </row>
    <row r="98" spans="1:12" x14ac:dyDescent="0.2">
      <c r="C98" s="5"/>
      <c r="D98" s="5"/>
      <c r="G98" s="4" t="s">
        <v>24</v>
      </c>
      <c r="H98" s="4">
        <v>3</v>
      </c>
      <c r="I98" s="4">
        <v>5097</v>
      </c>
      <c r="J98" s="4">
        <v>76006561</v>
      </c>
      <c r="K98" s="4">
        <f>14866/3</f>
        <v>4955.333333333333</v>
      </c>
    </row>
    <row r="99" spans="1:12" x14ac:dyDescent="0.2">
      <c r="L99" s="14"/>
    </row>
    <row r="100" spans="1:12" x14ac:dyDescent="0.2">
      <c r="A100" s="4" t="s">
        <v>66</v>
      </c>
      <c r="L100" s="14"/>
    </row>
    <row r="102" spans="1:12" x14ac:dyDescent="0.2">
      <c r="L102" s="8"/>
    </row>
    <row r="103" spans="1:12" x14ac:dyDescent="0.2">
      <c r="A103" s="8"/>
      <c r="B103" s="8"/>
      <c r="C103" s="8"/>
      <c r="D103" s="11"/>
      <c r="E103" s="12"/>
      <c r="F103" s="8"/>
      <c r="G103" s="8"/>
      <c r="H103" s="8"/>
      <c r="I103" s="8"/>
      <c r="J103" s="11"/>
      <c r="K103" s="8"/>
    </row>
    <row r="104" spans="1:12" x14ac:dyDescent="0.2">
      <c r="A104" s="21" t="s">
        <v>65</v>
      </c>
      <c r="B104" s="27"/>
      <c r="C104" s="27"/>
      <c r="D104" s="27"/>
      <c r="E104" s="27"/>
      <c r="F104" s="27"/>
      <c r="G104" s="27"/>
      <c r="H104" s="27"/>
      <c r="I104" s="27"/>
      <c r="J104" s="27"/>
      <c r="K104" s="27"/>
    </row>
    <row r="105" spans="1:12" x14ac:dyDescent="0.2">
      <c r="A105" s="21" t="s">
        <v>63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2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</row>
    <row r="107" spans="1:12" x14ac:dyDescent="0.2">
      <c r="A107" s="20" t="s">
        <v>34</v>
      </c>
      <c r="B107" s="20"/>
      <c r="C107" s="20"/>
      <c r="D107" s="20"/>
      <c r="E107" s="20"/>
      <c r="F107" s="7"/>
      <c r="G107" s="20" t="s">
        <v>35</v>
      </c>
      <c r="H107" s="20"/>
      <c r="I107" s="20"/>
      <c r="J107" s="20"/>
      <c r="K107" s="20"/>
    </row>
    <row r="108" spans="1:12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1:12" x14ac:dyDescent="0.2">
      <c r="A109" s="9"/>
      <c r="B109" s="9"/>
      <c r="C109" s="9"/>
      <c r="D109" s="9" t="s">
        <v>2</v>
      </c>
      <c r="E109" s="9" t="s">
        <v>3</v>
      </c>
      <c r="F109" s="7"/>
      <c r="G109" s="9"/>
      <c r="H109" s="9"/>
      <c r="I109" s="9"/>
      <c r="J109" s="9" t="s">
        <v>2</v>
      </c>
      <c r="K109" s="9" t="s">
        <v>3</v>
      </c>
    </row>
    <row r="110" spans="1:12" x14ac:dyDescent="0.2">
      <c r="A110" s="10" t="s">
        <v>4</v>
      </c>
      <c r="B110" s="9" t="s">
        <v>5</v>
      </c>
      <c r="C110" s="9" t="s">
        <v>6</v>
      </c>
      <c r="D110" s="9" t="s">
        <v>7</v>
      </c>
      <c r="E110" s="9" t="s">
        <v>8</v>
      </c>
      <c r="F110" s="7"/>
      <c r="G110" s="10" t="s">
        <v>4</v>
      </c>
      <c r="H110" s="9" t="s">
        <v>5</v>
      </c>
      <c r="I110" s="9" t="s">
        <v>6</v>
      </c>
      <c r="J110" s="9" t="s">
        <v>7</v>
      </c>
      <c r="K110" s="9" t="s">
        <v>8</v>
      </c>
    </row>
    <row r="111" spans="1:12" x14ac:dyDescent="0.2">
      <c r="A111" s="10" t="s">
        <v>9</v>
      </c>
      <c r="B111" s="9" t="s">
        <v>10</v>
      </c>
      <c r="C111" s="9" t="s">
        <v>11</v>
      </c>
      <c r="D111" s="9" t="s">
        <v>12</v>
      </c>
      <c r="E111" s="9" t="s">
        <v>13</v>
      </c>
      <c r="F111" s="7"/>
      <c r="G111" s="10" t="s">
        <v>9</v>
      </c>
      <c r="H111" s="9" t="s">
        <v>10</v>
      </c>
      <c r="I111" s="9" t="s">
        <v>11</v>
      </c>
      <c r="J111" s="9" t="s">
        <v>12</v>
      </c>
      <c r="K111" s="9" t="s">
        <v>13</v>
      </c>
      <c r="L111" s="14"/>
    </row>
    <row r="112" spans="1:12" x14ac:dyDescent="0.2">
      <c r="L112" s="14"/>
    </row>
    <row r="114" spans="1:11" s="8" customFormat="1" x14ac:dyDescent="0.2">
      <c r="A114" s="8" t="s">
        <v>27</v>
      </c>
      <c r="B114" s="8">
        <f>SUM(B116:B125)</f>
        <v>2847</v>
      </c>
      <c r="C114" s="8">
        <f>SUM(C116:C125)</f>
        <v>61815</v>
      </c>
      <c r="D114" s="11">
        <f>SUM(D116:D125)</f>
        <v>884412907</v>
      </c>
      <c r="E114" s="12">
        <f>14215/3</f>
        <v>4738.333333333333</v>
      </c>
      <c r="G114" s="8" t="s">
        <v>27</v>
      </c>
      <c r="H114" s="8">
        <f>SUM(H116:H125)</f>
        <v>2903</v>
      </c>
      <c r="I114" s="8">
        <f>SUM(I116:I125)</f>
        <v>39487</v>
      </c>
      <c r="J114" s="11">
        <f>SUM(J116:J125)</f>
        <v>954627831</v>
      </c>
      <c r="K114" s="12">
        <f>24167/3</f>
        <v>8055.666666666667</v>
      </c>
    </row>
    <row r="115" spans="1:11" ht="16.5" customHeight="1" x14ac:dyDescent="0.2">
      <c r="A115" s="4" t="s">
        <v>28</v>
      </c>
      <c r="G115" s="4" t="s">
        <v>28</v>
      </c>
    </row>
    <row r="116" spans="1:11" x14ac:dyDescent="0.2">
      <c r="A116" s="4" t="s">
        <v>15</v>
      </c>
      <c r="B116" s="4">
        <v>410</v>
      </c>
      <c r="C116" s="4">
        <v>0</v>
      </c>
      <c r="D116" s="4">
        <v>2915348</v>
      </c>
      <c r="E116" s="4">
        <f>11478/3</f>
        <v>3826</v>
      </c>
      <c r="G116" s="4" t="s">
        <v>15</v>
      </c>
      <c r="H116" s="4">
        <v>421</v>
      </c>
      <c r="I116" s="4">
        <v>0</v>
      </c>
      <c r="J116" s="4">
        <v>2398297</v>
      </c>
      <c r="K116" s="4">
        <f>15778/3</f>
        <v>5259.333333333333</v>
      </c>
    </row>
    <row r="117" spans="1:11" x14ac:dyDescent="0.2">
      <c r="A117" s="4" t="s">
        <v>16</v>
      </c>
      <c r="B117" s="4">
        <v>1350</v>
      </c>
      <c r="C117" s="4">
        <v>2505</v>
      </c>
      <c r="D117" s="4">
        <v>26202265</v>
      </c>
      <c r="E117" s="4">
        <f>10631/3</f>
        <v>3543.6666666666665</v>
      </c>
      <c r="G117" s="4" t="s">
        <v>16</v>
      </c>
      <c r="H117" s="4">
        <v>1662</v>
      </c>
      <c r="I117" s="4">
        <v>2621</v>
      </c>
      <c r="J117" s="4">
        <v>71031504</v>
      </c>
      <c r="K117" s="4">
        <f>27309/3</f>
        <v>9103</v>
      </c>
    </row>
    <row r="118" spans="1:11" x14ac:dyDescent="0.2">
      <c r="A118" s="4" t="s">
        <v>17</v>
      </c>
      <c r="B118" s="4">
        <v>381</v>
      </c>
      <c r="C118" s="4">
        <v>2490</v>
      </c>
      <c r="D118" s="4">
        <v>29406514</v>
      </c>
      <c r="E118" s="4">
        <f>12009/3</f>
        <v>4003</v>
      </c>
      <c r="G118" s="4" t="s">
        <v>17</v>
      </c>
      <c r="H118" s="4">
        <v>285</v>
      </c>
      <c r="I118" s="4">
        <v>1909</v>
      </c>
      <c r="J118" s="4">
        <v>39064580</v>
      </c>
      <c r="K118" s="4">
        <f>20665/3</f>
        <v>6888.333333333333</v>
      </c>
    </row>
    <row r="119" spans="1:11" x14ac:dyDescent="0.2">
      <c r="A119" s="4" t="s">
        <v>56</v>
      </c>
      <c r="B119" s="4">
        <v>280</v>
      </c>
      <c r="C119" s="4">
        <v>3892</v>
      </c>
      <c r="D119" s="4">
        <v>45697346</v>
      </c>
      <c r="E119" s="4">
        <f>11848/3</f>
        <v>3949.3333333333335</v>
      </c>
      <c r="G119" s="4" t="s">
        <v>56</v>
      </c>
      <c r="H119" s="4">
        <v>192</v>
      </c>
      <c r="I119" s="4">
        <v>2633</v>
      </c>
      <c r="J119" s="4">
        <v>59505604</v>
      </c>
      <c r="K119" s="4">
        <f>21405/3</f>
        <v>7135</v>
      </c>
    </row>
    <row r="120" spans="1:11" x14ac:dyDescent="0.2">
      <c r="A120" s="4" t="s">
        <v>18</v>
      </c>
      <c r="B120" s="4">
        <v>232</v>
      </c>
      <c r="C120" s="4">
        <v>6971</v>
      </c>
      <c r="D120" s="4">
        <v>79579476</v>
      </c>
      <c r="E120" s="4">
        <f>11492/3</f>
        <v>3830.6666666666665</v>
      </c>
      <c r="G120" s="4" t="s">
        <v>18</v>
      </c>
      <c r="H120" s="4">
        <v>188</v>
      </c>
      <c r="I120" s="4">
        <v>5785</v>
      </c>
      <c r="J120" s="4">
        <v>103552727</v>
      </c>
      <c r="K120" s="4">
        <f>17681/3</f>
        <v>5893.666666666667</v>
      </c>
    </row>
    <row r="121" spans="1:11" x14ac:dyDescent="0.2">
      <c r="A121" s="4" t="s">
        <v>19</v>
      </c>
      <c r="B121" s="4">
        <v>92</v>
      </c>
      <c r="C121" s="4">
        <v>6465</v>
      </c>
      <c r="D121" s="4">
        <v>74382647</v>
      </c>
      <c r="E121" s="4">
        <f>11530/3</f>
        <v>3843.3333333333335</v>
      </c>
      <c r="G121" s="4" t="s">
        <v>19</v>
      </c>
      <c r="H121" s="4">
        <v>79</v>
      </c>
      <c r="I121" s="4">
        <v>5434</v>
      </c>
      <c r="J121" s="4">
        <v>104809818</v>
      </c>
      <c r="K121" s="4">
        <f>19364/3</f>
        <v>6454.666666666667</v>
      </c>
    </row>
    <row r="122" spans="1:11" x14ac:dyDescent="0.2">
      <c r="A122" s="4" t="s">
        <v>20</v>
      </c>
      <c r="B122" s="4">
        <v>59</v>
      </c>
      <c r="C122" s="4">
        <v>8952</v>
      </c>
      <c r="D122" s="4">
        <v>110275812</v>
      </c>
      <c r="E122" s="4">
        <f>12161/3</f>
        <v>4053.6666666666665</v>
      </c>
      <c r="G122" s="4" t="s">
        <v>20</v>
      </c>
      <c r="H122" s="4">
        <v>56</v>
      </c>
      <c r="I122" s="4">
        <v>8645</v>
      </c>
      <c r="J122" s="4">
        <v>165039082</v>
      </c>
      <c r="K122" s="4">
        <f>19756/3</f>
        <v>6585.333333333333</v>
      </c>
    </row>
    <row r="123" spans="1:11" x14ac:dyDescent="0.2">
      <c r="A123" s="4" t="s">
        <v>21</v>
      </c>
      <c r="B123" s="4">
        <v>25</v>
      </c>
      <c r="C123" s="5">
        <v>8467</v>
      </c>
      <c r="D123" s="5">
        <v>109712557</v>
      </c>
      <c r="E123" s="4">
        <f>12735/3</f>
        <v>4245</v>
      </c>
      <c r="G123" s="4" t="s">
        <v>21</v>
      </c>
      <c r="H123" s="4">
        <v>9</v>
      </c>
      <c r="I123" s="4">
        <v>3290</v>
      </c>
      <c r="J123" s="4">
        <v>93660499</v>
      </c>
      <c r="K123" s="4">
        <f>29171/3</f>
        <v>9723.6666666666661</v>
      </c>
    </row>
    <row r="124" spans="1:11" x14ac:dyDescent="0.2">
      <c r="A124" s="4" t="s">
        <v>23</v>
      </c>
      <c r="B124" s="4">
        <v>13</v>
      </c>
      <c r="C124" s="5">
        <v>9131</v>
      </c>
      <c r="D124" s="5">
        <v>123553749</v>
      </c>
      <c r="E124" s="4">
        <f>13501/3</f>
        <v>4500.333333333333</v>
      </c>
      <c r="G124" s="4" t="s">
        <v>23</v>
      </c>
      <c r="H124" s="4">
        <v>8</v>
      </c>
      <c r="I124" s="4">
        <v>5787</v>
      </c>
      <c r="J124" s="4">
        <v>154115825</v>
      </c>
      <c r="K124" s="4">
        <f>26433/3</f>
        <v>8811</v>
      </c>
    </row>
    <row r="125" spans="1:11" x14ac:dyDescent="0.2">
      <c r="A125" s="4" t="s">
        <v>24</v>
      </c>
      <c r="B125" s="4">
        <v>5</v>
      </c>
      <c r="C125" s="5">
        <v>12942</v>
      </c>
      <c r="D125" s="5">
        <v>282687193</v>
      </c>
      <c r="E125" s="4">
        <f>21776/3</f>
        <v>7258.666666666667</v>
      </c>
      <c r="G125" s="4" t="s">
        <v>24</v>
      </c>
      <c r="H125" s="4">
        <v>3</v>
      </c>
      <c r="I125" s="4">
        <v>3383</v>
      </c>
      <c r="J125" s="4">
        <v>161449895</v>
      </c>
      <c r="K125" s="4">
        <f>47304/3</f>
        <v>15768</v>
      </c>
    </row>
    <row r="128" spans="1:11" x14ac:dyDescent="0.2">
      <c r="A128" s="20" t="s">
        <v>36</v>
      </c>
      <c r="B128" s="20"/>
      <c r="C128" s="20"/>
      <c r="D128" s="20"/>
      <c r="E128" s="20"/>
      <c r="F128" s="7"/>
      <c r="G128" s="20" t="s">
        <v>37</v>
      </c>
      <c r="H128" s="20"/>
      <c r="I128" s="20"/>
      <c r="J128" s="20"/>
      <c r="K128" s="20"/>
    </row>
    <row r="129" spans="1:1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</row>
    <row r="130" spans="1:11" x14ac:dyDescent="0.2">
      <c r="A130" s="9"/>
      <c r="B130" s="9"/>
      <c r="C130" s="9"/>
      <c r="D130" s="9" t="s">
        <v>2</v>
      </c>
      <c r="E130" s="9" t="s">
        <v>3</v>
      </c>
      <c r="F130" s="7"/>
      <c r="G130" s="9"/>
      <c r="H130" s="9"/>
      <c r="I130" s="9"/>
      <c r="J130" s="9" t="s">
        <v>2</v>
      </c>
      <c r="K130" s="9" t="s">
        <v>3</v>
      </c>
    </row>
    <row r="131" spans="1:11" x14ac:dyDescent="0.2">
      <c r="A131" s="10" t="s">
        <v>4</v>
      </c>
      <c r="B131" s="9" t="s">
        <v>5</v>
      </c>
      <c r="C131" s="9" t="s">
        <v>6</v>
      </c>
      <c r="D131" s="9" t="s">
        <v>7</v>
      </c>
      <c r="E131" s="9" t="s">
        <v>8</v>
      </c>
      <c r="F131" s="7"/>
      <c r="G131" s="10" t="s">
        <v>4</v>
      </c>
      <c r="H131" s="9" t="s">
        <v>5</v>
      </c>
      <c r="I131" s="9" t="s">
        <v>6</v>
      </c>
      <c r="J131" s="9" t="s">
        <v>7</v>
      </c>
      <c r="K131" s="9" t="s">
        <v>8</v>
      </c>
    </row>
    <row r="132" spans="1:11" x14ac:dyDescent="0.2">
      <c r="A132" s="10" t="s">
        <v>9</v>
      </c>
      <c r="B132" s="9" t="s">
        <v>10</v>
      </c>
      <c r="C132" s="9" t="s">
        <v>11</v>
      </c>
      <c r="D132" s="9" t="s">
        <v>12</v>
      </c>
      <c r="E132" s="9" t="s">
        <v>13</v>
      </c>
      <c r="F132" s="7"/>
      <c r="G132" s="10" t="s">
        <v>9</v>
      </c>
      <c r="H132" s="9" t="s">
        <v>10</v>
      </c>
      <c r="I132" s="9" t="s">
        <v>11</v>
      </c>
      <c r="J132" s="9" t="s">
        <v>12</v>
      </c>
      <c r="K132" s="9" t="s">
        <v>13</v>
      </c>
    </row>
    <row r="135" spans="1:11" s="8" customFormat="1" x14ac:dyDescent="0.2">
      <c r="A135" s="8" t="s">
        <v>27</v>
      </c>
      <c r="B135" s="8">
        <f>SUM(B137:B146)</f>
        <v>6087</v>
      </c>
      <c r="C135" s="8">
        <f>SUM(C137:C146)</f>
        <v>70670</v>
      </c>
      <c r="D135" s="11">
        <f>SUM( D137:D146)</f>
        <v>1568019889</v>
      </c>
      <c r="E135" s="12">
        <f>22250/3</f>
        <v>7416.666666666667</v>
      </c>
      <c r="G135" s="8" t="s">
        <v>27</v>
      </c>
      <c r="H135" s="8">
        <f>SUM(H137:H144)</f>
        <v>6018</v>
      </c>
      <c r="I135" s="8">
        <f>SUM(I137:I144)</f>
        <v>22134</v>
      </c>
      <c r="J135" s="11">
        <f>SUM(J137:J144)</f>
        <v>311602092</v>
      </c>
      <c r="K135" s="12">
        <f>14057/3</f>
        <v>4685.666666666667</v>
      </c>
    </row>
    <row r="136" spans="1:11" x14ac:dyDescent="0.2">
      <c r="A136" s="4" t="s">
        <v>28</v>
      </c>
      <c r="G136" s="4" t="s">
        <v>28</v>
      </c>
    </row>
    <row r="137" spans="1:11" x14ac:dyDescent="0.2">
      <c r="A137" s="4">
        <v>0</v>
      </c>
      <c r="B137" s="4">
        <v>613</v>
      </c>
      <c r="C137" s="4">
        <v>0</v>
      </c>
      <c r="D137" s="4">
        <v>5521991</v>
      </c>
      <c r="E137" s="4">
        <f>30564/3</f>
        <v>10188</v>
      </c>
      <c r="G137" s="4" t="s">
        <v>15</v>
      </c>
      <c r="H137" s="4">
        <v>1167</v>
      </c>
      <c r="I137" s="4">
        <v>0</v>
      </c>
      <c r="J137" s="4">
        <v>3521689</v>
      </c>
      <c r="K137" s="4">
        <f>16254/3</f>
        <v>5418</v>
      </c>
    </row>
    <row r="138" spans="1:11" x14ac:dyDescent="0.2">
      <c r="A138" s="4" t="s">
        <v>16</v>
      </c>
      <c r="B138" s="4">
        <v>3443</v>
      </c>
      <c r="C138" s="4">
        <v>6354</v>
      </c>
      <c r="D138" s="4">
        <v>127396676</v>
      </c>
      <c r="E138" s="4">
        <f>20012/3</f>
        <v>6670.666666666667</v>
      </c>
      <c r="G138" s="4" t="s">
        <v>16</v>
      </c>
      <c r="H138" s="4">
        <v>3831</v>
      </c>
      <c r="I138" s="4">
        <v>6190</v>
      </c>
      <c r="J138" s="4">
        <v>73236822</v>
      </c>
      <c r="K138" s="4">
        <f>11992/3</f>
        <v>3997.3333333333335</v>
      </c>
    </row>
    <row r="139" spans="1:11" x14ac:dyDescent="0.2">
      <c r="A139" s="4" t="s">
        <v>17</v>
      </c>
      <c r="B139" s="4">
        <v>1024</v>
      </c>
      <c r="C139" s="4">
        <v>6784</v>
      </c>
      <c r="D139" s="4">
        <v>112910648</v>
      </c>
      <c r="E139" s="4">
        <f>16792/3</f>
        <v>5597.333333333333</v>
      </c>
      <c r="G139" s="4" t="s">
        <v>17</v>
      </c>
      <c r="H139" s="4">
        <v>578</v>
      </c>
      <c r="I139" s="4">
        <v>3789</v>
      </c>
      <c r="J139" s="4">
        <v>62084457</v>
      </c>
      <c r="K139" s="4">
        <f>16619/3</f>
        <v>5539.666666666667</v>
      </c>
    </row>
    <row r="140" spans="1:11" x14ac:dyDescent="0.2">
      <c r="A140" s="4" t="s">
        <v>56</v>
      </c>
      <c r="B140" s="4">
        <v>540</v>
      </c>
      <c r="C140" s="4">
        <v>7138</v>
      </c>
      <c r="D140" s="4">
        <v>129384762</v>
      </c>
      <c r="E140" s="4">
        <f>18162/3</f>
        <v>6054</v>
      </c>
      <c r="G140" s="4" t="s">
        <v>56</v>
      </c>
      <c r="H140" s="4">
        <v>273</v>
      </c>
      <c r="I140" s="4">
        <v>3648</v>
      </c>
      <c r="J140" s="4">
        <v>49014855</v>
      </c>
      <c r="K140" s="4">
        <f>13571/3</f>
        <v>4523.666666666667</v>
      </c>
    </row>
    <row r="141" spans="1:11" x14ac:dyDescent="0.2">
      <c r="A141" s="4" t="s">
        <v>18</v>
      </c>
      <c r="B141" s="4">
        <v>275</v>
      </c>
      <c r="C141" s="4">
        <v>7977</v>
      </c>
      <c r="D141" s="4">
        <v>209092915</v>
      </c>
      <c r="E141" s="4">
        <f>26277/3</f>
        <v>8759</v>
      </c>
      <c r="G141" s="4" t="s">
        <v>18</v>
      </c>
      <c r="H141" s="4">
        <v>121</v>
      </c>
      <c r="I141" s="4">
        <v>3757</v>
      </c>
      <c r="J141" s="4">
        <v>50858780</v>
      </c>
      <c r="K141" s="4">
        <f>13628/3</f>
        <v>4542.666666666667</v>
      </c>
    </row>
    <row r="142" spans="1:11" x14ac:dyDescent="0.2">
      <c r="A142" s="4" t="s">
        <v>19</v>
      </c>
      <c r="B142" s="4">
        <v>87</v>
      </c>
      <c r="C142" s="4">
        <v>5948</v>
      </c>
      <c r="D142" s="4">
        <v>170295257</v>
      </c>
      <c r="E142" s="4">
        <f>28921/3</f>
        <v>9640.3333333333339</v>
      </c>
      <c r="G142" s="4" t="s">
        <v>19</v>
      </c>
      <c r="H142" s="4">
        <v>37</v>
      </c>
      <c r="I142" s="4">
        <v>2517</v>
      </c>
      <c r="J142" s="4">
        <v>40207245</v>
      </c>
      <c r="K142" s="4">
        <f>15840/3</f>
        <v>5280</v>
      </c>
    </row>
    <row r="143" spans="1:11" x14ac:dyDescent="0.2">
      <c r="A143" s="4" t="s">
        <v>20</v>
      </c>
      <c r="B143" s="4">
        <v>59</v>
      </c>
      <c r="C143" s="4">
        <v>8703</v>
      </c>
      <c r="D143" s="4">
        <v>202480531</v>
      </c>
      <c r="E143" s="4">
        <f>23521/3</f>
        <v>7840.333333333333</v>
      </c>
      <c r="G143" s="4" t="s">
        <v>20</v>
      </c>
      <c r="H143" s="4">
        <v>8</v>
      </c>
      <c r="I143" s="4">
        <v>1177</v>
      </c>
      <c r="J143" s="4">
        <v>16401494</v>
      </c>
      <c r="K143" s="4">
        <f>13860/3</f>
        <v>4620</v>
      </c>
    </row>
    <row r="144" spans="1:11" x14ac:dyDescent="0.2">
      <c r="A144" s="4" t="s">
        <v>21</v>
      </c>
      <c r="B144" s="4">
        <v>30</v>
      </c>
      <c r="C144" s="5">
        <v>9927</v>
      </c>
      <c r="D144" s="5">
        <v>223284295</v>
      </c>
      <c r="E144" s="4">
        <f>22621/3</f>
        <v>7540.333333333333</v>
      </c>
      <c r="G144" s="4" t="s">
        <v>22</v>
      </c>
      <c r="H144" s="4">
        <v>3</v>
      </c>
      <c r="I144" s="4">
        <v>1056</v>
      </c>
      <c r="J144" s="4">
        <v>16276750</v>
      </c>
      <c r="K144" s="4">
        <f>15606/3</f>
        <v>5202</v>
      </c>
    </row>
    <row r="145" spans="1:12" x14ac:dyDescent="0.2">
      <c r="A145" s="4" t="s">
        <v>23</v>
      </c>
      <c r="B145" s="4">
        <v>9</v>
      </c>
      <c r="C145" s="5">
        <v>6034</v>
      </c>
      <c r="D145" s="5">
        <v>135437341</v>
      </c>
      <c r="E145" s="4">
        <f>22451/3</f>
        <v>7483.666666666667</v>
      </c>
    </row>
    <row r="146" spans="1:12" x14ac:dyDescent="0.2">
      <c r="A146" s="4" t="s">
        <v>24</v>
      </c>
      <c r="B146" s="4">
        <v>7</v>
      </c>
      <c r="C146" s="5">
        <v>11805</v>
      </c>
      <c r="D146" s="5">
        <v>252215473</v>
      </c>
      <c r="E146" s="4">
        <f>21521/3</f>
        <v>7173.666666666667</v>
      </c>
    </row>
    <row r="148" spans="1:12" x14ac:dyDescent="0.2">
      <c r="A148" s="4" t="s">
        <v>66</v>
      </c>
    </row>
    <row r="151" spans="1:12" x14ac:dyDescent="0.2">
      <c r="A151" s="8"/>
      <c r="B151" s="8"/>
      <c r="C151" s="8"/>
      <c r="D151" s="11"/>
      <c r="E151" s="12"/>
      <c r="F151" s="8"/>
      <c r="G151" s="8"/>
      <c r="H151" s="8"/>
      <c r="I151" s="8"/>
      <c r="J151" s="11"/>
      <c r="K151" s="12"/>
      <c r="L151" s="8"/>
    </row>
    <row r="154" spans="1:12" x14ac:dyDescent="0.2">
      <c r="A154" s="21" t="s">
        <v>65</v>
      </c>
      <c r="B154" s="21"/>
      <c r="C154" s="21"/>
      <c r="D154" s="21"/>
      <c r="E154" s="21"/>
      <c r="F154" s="21"/>
      <c r="G154" s="21"/>
      <c r="H154" s="21"/>
      <c r="I154" s="21"/>
      <c r="J154" s="21"/>
      <c r="K154" s="21"/>
    </row>
    <row r="155" spans="1:12" x14ac:dyDescent="0.2">
      <c r="A155" s="21" t="s">
        <v>63</v>
      </c>
      <c r="B155" s="21"/>
      <c r="C155" s="21"/>
      <c r="D155" s="21"/>
      <c r="E155" s="21"/>
      <c r="F155" s="21"/>
      <c r="G155" s="21"/>
      <c r="H155" s="21"/>
      <c r="I155" s="21"/>
      <c r="J155" s="21"/>
      <c r="K155" s="21"/>
    </row>
    <row r="156" spans="1:12" x14ac:dyDescent="0.2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</row>
    <row r="157" spans="1:12" x14ac:dyDescent="0.2">
      <c r="A157" s="20" t="s">
        <v>39</v>
      </c>
      <c r="B157" s="20"/>
      <c r="C157" s="20"/>
      <c r="D157" s="20"/>
      <c r="E157" s="20"/>
      <c r="F157" s="7"/>
      <c r="G157" s="20" t="s">
        <v>40</v>
      </c>
      <c r="H157" s="20"/>
      <c r="I157" s="20"/>
      <c r="J157" s="20"/>
      <c r="K157" s="20"/>
    </row>
    <row r="158" spans="1:12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</row>
    <row r="159" spans="1:12" x14ac:dyDescent="0.2">
      <c r="A159" s="9"/>
      <c r="B159" s="9"/>
      <c r="C159" s="9"/>
      <c r="D159" s="9" t="s">
        <v>2</v>
      </c>
      <c r="E159" s="9" t="s">
        <v>3</v>
      </c>
      <c r="F159" s="7"/>
      <c r="G159" s="9"/>
      <c r="H159" s="9"/>
      <c r="I159" s="9"/>
      <c r="J159" s="9" t="s">
        <v>2</v>
      </c>
      <c r="K159" s="9" t="s">
        <v>3</v>
      </c>
    </row>
    <row r="160" spans="1:12" x14ac:dyDescent="0.2">
      <c r="A160" s="10" t="s">
        <v>4</v>
      </c>
      <c r="B160" s="9" t="s">
        <v>5</v>
      </c>
      <c r="C160" s="9" t="s">
        <v>6</v>
      </c>
      <c r="D160" s="9" t="s">
        <v>7</v>
      </c>
      <c r="E160" s="9" t="s">
        <v>8</v>
      </c>
      <c r="F160" s="7"/>
      <c r="G160" s="10" t="s">
        <v>4</v>
      </c>
      <c r="H160" s="9" t="s">
        <v>5</v>
      </c>
      <c r="I160" s="9" t="s">
        <v>6</v>
      </c>
      <c r="J160" s="9" t="s">
        <v>7</v>
      </c>
      <c r="K160" s="9" t="s">
        <v>8</v>
      </c>
    </row>
    <row r="161" spans="1:11" x14ac:dyDescent="0.2">
      <c r="A161" s="10" t="s">
        <v>9</v>
      </c>
      <c r="B161" s="9" t="s">
        <v>10</v>
      </c>
      <c r="C161" s="9" t="s">
        <v>11</v>
      </c>
      <c r="D161" s="9" t="s">
        <v>12</v>
      </c>
      <c r="E161" s="9" t="s">
        <v>13</v>
      </c>
      <c r="F161" s="7"/>
      <c r="G161" s="10" t="s">
        <v>9</v>
      </c>
      <c r="H161" s="9" t="s">
        <v>10</v>
      </c>
      <c r="I161" s="9" t="s">
        <v>11</v>
      </c>
      <c r="J161" s="9" t="s">
        <v>12</v>
      </c>
      <c r="K161" s="9" t="s">
        <v>13</v>
      </c>
    </row>
    <row r="164" spans="1:11" s="8" customFormat="1" x14ac:dyDescent="0.2">
      <c r="A164" s="8" t="s">
        <v>27</v>
      </c>
      <c r="B164" s="8">
        <f>SUM(B166:B175)</f>
        <v>17176</v>
      </c>
      <c r="C164" s="8">
        <f>SUM(C166:C175)</f>
        <v>112695</v>
      </c>
      <c r="D164" s="11">
        <f>SUM(D166:D175)</f>
        <v>2268993616</v>
      </c>
      <c r="E164" s="12">
        <f>20178/3</f>
        <v>6726</v>
      </c>
      <c r="G164" s="8" t="s">
        <v>27</v>
      </c>
      <c r="H164" s="8">
        <f>SUM(H166:H174)</f>
        <v>1008</v>
      </c>
      <c r="I164" s="8">
        <f>SUM(I166:I174)</f>
        <v>21042</v>
      </c>
      <c r="J164" s="11">
        <f>SUM(J166:J174)</f>
        <v>561034332</v>
      </c>
      <c r="K164" s="12">
        <f>26732/3</f>
        <v>8910.6666666666661</v>
      </c>
    </row>
    <row r="165" spans="1:11" x14ac:dyDescent="0.2">
      <c r="A165" s="4" t="s">
        <v>28</v>
      </c>
      <c r="G165" s="4" t="s">
        <v>28</v>
      </c>
    </row>
    <row r="166" spans="1:11" x14ac:dyDescent="0.2">
      <c r="A166" s="4" t="s">
        <v>15</v>
      </c>
      <c r="B166" s="4">
        <v>3348</v>
      </c>
      <c r="C166" s="4">
        <v>0</v>
      </c>
      <c r="D166" s="4">
        <v>18352707</v>
      </c>
      <c r="E166" s="4">
        <f>18389/3</f>
        <v>6129.666666666667</v>
      </c>
      <c r="G166" s="4" t="s">
        <v>15</v>
      </c>
      <c r="H166" s="4">
        <v>158</v>
      </c>
      <c r="I166" s="4">
        <v>0</v>
      </c>
      <c r="J166" s="4">
        <v>1268218</v>
      </c>
      <c r="K166" s="4">
        <f>26606/3</f>
        <v>8868.6666666666661</v>
      </c>
    </row>
    <row r="167" spans="1:11" x14ac:dyDescent="0.2">
      <c r="A167" s="4" t="s">
        <v>16</v>
      </c>
      <c r="B167" s="4">
        <v>10351</v>
      </c>
      <c r="C167" s="4">
        <v>16098</v>
      </c>
      <c r="D167" s="4">
        <v>287464768</v>
      </c>
      <c r="E167" s="4">
        <f>18205/3</f>
        <v>6068.333333333333</v>
      </c>
      <c r="G167" s="4" t="s">
        <v>16</v>
      </c>
      <c r="H167" s="4">
        <v>524</v>
      </c>
      <c r="I167" s="4">
        <v>815</v>
      </c>
      <c r="J167" s="4">
        <v>23382387</v>
      </c>
      <c r="K167" s="4">
        <f>29204/3</f>
        <v>9734.6666666666661</v>
      </c>
    </row>
    <row r="168" spans="1:11" x14ac:dyDescent="0.2">
      <c r="A168" s="4" t="s">
        <v>17</v>
      </c>
      <c r="B168" s="4">
        <v>1518</v>
      </c>
      <c r="C168" s="4">
        <v>10005</v>
      </c>
      <c r="D168" s="4">
        <v>163025813</v>
      </c>
      <c r="E168" s="4">
        <f>16533/3</f>
        <v>5511</v>
      </c>
      <c r="G168" s="4" t="s">
        <v>17</v>
      </c>
      <c r="H168" s="4">
        <v>98</v>
      </c>
      <c r="I168" s="4">
        <v>635</v>
      </c>
      <c r="J168" s="4">
        <v>17963647</v>
      </c>
      <c r="K168" s="4">
        <f>28484/3</f>
        <v>9494.6666666666661</v>
      </c>
    </row>
    <row r="169" spans="1:11" x14ac:dyDescent="0.2">
      <c r="A169" s="4" t="s">
        <v>56</v>
      </c>
      <c r="B169" s="4">
        <v>958</v>
      </c>
      <c r="C169" s="4">
        <v>12979</v>
      </c>
      <c r="D169" s="4">
        <v>227366180</v>
      </c>
      <c r="E169" s="4">
        <f>17814/3</f>
        <v>5938</v>
      </c>
      <c r="G169" s="4" t="s">
        <v>56</v>
      </c>
      <c r="H169" s="4">
        <v>82</v>
      </c>
      <c r="I169" s="4">
        <v>1145</v>
      </c>
      <c r="J169" s="4">
        <v>24657586</v>
      </c>
      <c r="K169" s="4">
        <f>21885/3</f>
        <v>7295</v>
      </c>
    </row>
    <row r="170" spans="1:11" x14ac:dyDescent="0.2">
      <c r="A170" s="4" t="s">
        <v>18</v>
      </c>
      <c r="B170" s="4">
        <v>657</v>
      </c>
      <c r="C170" s="4">
        <v>19953</v>
      </c>
      <c r="D170" s="4">
        <v>372127926</v>
      </c>
      <c r="E170" s="4">
        <f>18852/3</f>
        <v>6284</v>
      </c>
      <c r="G170" s="4" t="s">
        <v>18</v>
      </c>
      <c r="H170" s="4">
        <v>73</v>
      </c>
      <c r="I170" s="4">
        <v>2345</v>
      </c>
      <c r="J170" s="4">
        <v>61184000</v>
      </c>
      <c r="K170" s="4">
        <f>26203/3</f>
        <v>8734.3333333333339</v>
      </c>
    </row>
    <row r="171" spans="1:11" x14ac:dyDescent="0.2">
      <c r="A171" s="4" t="s">
        <v>19</v>
      </c>
      <c r="B171" s="4">
        <v>181</v>
      </c>
      <c r="C171" s="4">
        <v>12569</v>
      </c>
      <c r="D171" s="4">
        <v>272811660</v>
      </c>
      <c r="E171" s="4">
        <f>21872/3</f>
        <v>7290.666666666667</v>
      </c>
      <c r="G171" s="4" t="s">
        <v>19</v>
      </c>
      <c r="H171" s="4">
        <v>28</v>
      </c>
      <c r="I171" s="4">
        <v>1847</v>
      </c>
      <c r="J171" s="4">
        <v>43995073</v>
      </c>
      <c r="K171" s="4">
        <f>23738/3</f>
        <v>7912.666666666667</v>
      </c>
    </row>
    <row r="172" spans="1:11" x14ac:dyDescent="0.2">
      <c r="A172" s="4" t="s">
        <v>20</v>
      </c>
      <c r="B172" s="4">
        <v>120</v>
      </c>
      <c r="C172" s="4">
        <v>16852</v>
      </c>
      <c r="D172" s="4">
        <v>383342543</v>
      </c>
      <c r="E172" s="4">
        <f>22803/3</f>
        <v>7601</v>
      </c>
      <c r="G172" s="4" t="s">
        <v>20</v>
      </c>
      <c r="H172" s="4">
        <v>30</v>
      </c>
      <c r="I172" s="4">
        <v>5002</v>
      </c>
      <c r="J172" s="4">
        <v>141962309</v>
      </c>
      <c r="K172" s="4">
        <f>28455/3</f>
        <v>9485</v>
      </c>
    </row>
    <row r="173" spans="1:11" x14ac:dyDescent="0.2">
      <c r="A173" s="4" t="s">
        <v>21</v>
      </c>
      <c r="B173" s="4">
        <v>23</v>
      </c>
      <c r="C173" s="5">
        <v>7849</v>
      </c>
      <c r="D173" s="5">
        <v>174536928</v>
      </c>
      <c r="E173" s="4">
        <f>22313/3</f>
        <v>7437.666666666667</v>
      </c>
      <c r="G173" s="4" t="s">
        <v>21</v>
      </c>
      <c r="H173" s="4">
        <v>9</v>
      </c>
      <c r="I173" s="4">
        <v>3197</v>
      </c>
      <c r="J173" s="4">
        <v>74358948</v>
      </c>
      <c r="K173" s="4">
        <f>23254/3</f>
        <v>7751.333333333333</v>
      </c>
    </row>
    <row r="174" spans="1:11" x14ac:dyDescent="0.2">
      <c r="A174" s="4" t="s">
        <v>23</v>
      </c>
      <c r="B174" s="4">
        <v>16</v>
      </c>
      <c r="C174" s="5">
        <v>10800</v>
      </c>
      <c r="D174" s="5">
        <v>198779256</v>
      </c>
      <c r="E174" s="4">
        <f>18649/3</f>
        <v>6216.333333333333</v>
      </c>
      <c r="G174" s="4" t="s">
        <v>23</v>
      </c>
      <c r="H174" s="4">
        <v>6</v>
      </c>
      <c r="I174" s="4">
        <f>2775+3281</f>
        <v>6056</v>
      </c>
      <c r="J174" s="4">
        <f>94816417+77445747</f>
        <v>172262164</v>
      </c>
      <c r="K174" s="4">
        <f>J174/(2644+3289+2762+3270+2775+3281)</f>
        <v>9558.9680927806439</v>
      </c>
    </row>
    <row r="175" spans="1:11" x14ac:dyDescent="0.2">
      <c r="A175" s="4" t="s">
        <v>24</v>
      </c>
      <c r="B175" s="4">
        <v>4</v>
      </c>
      <c r="C175" s="5">
        <v>5590</v>
      </c>
      <c r="D175" s="5">
        <v>171185835</v>
      </c>
      <c r="E175" s="4">
        <f>30963/3</f>
        <v>10321</v>
      </c>
    </row>
    <row r="178" spans="1:11" x14ac:dyDescent="0.2">
      <c r="A178" s="25" t="s">
        <v>41</v>
      </c>
      <c r="B178" s="25"/>
      <c r="C178" s="25"/>
      <c r="D178" s="25"/>
      <c r="E178" s="25"/>
      <c r="F178" s="7"/>
      <c r="G178" s="20" t="s">
        <v>59</v>
      </c>
      <c r="H178" s="20"/>
      <c r="I178" s="20"/>
      <c r="J178" s="20"/>
      <c r="K178" s="20"/>
    </row>
    <row r="179" spans="1:1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</row>
    <row r="180" spans="1:11" x14ac:dyDescent="0.2">
      <c r="A180" s="9"/>
      <c r="B180" s="9"/>
      <c r="C180" s="9"/>
      <c r="D180" s="9" t="s">
        <v>2</v>
      </c>
      <c r="E180" s="9" t="s">
        <v>3</v>
      </c>
      <c r="F180" s="7"/>
      <c r="G180" s="9"/>
      <c r="H180" s="9"/>
      <c r="I180" s="9"/>
      <c r="J180" s="9" t="s">
        <v>2</v>
      </c>
      <c r="K180" s="9" t="s">
        <v>3</v>
      </c>
    </row>
    <row r="181" spans="1:11" x14ac:dyDescent="0.2">
      <c r="A181" s="10" t="s">
        <v>4</v>
      </c>
      <c r="B181" s="9" t="s">
        <v>5</v>
      </c>
      <c r="C181" s="9" t="s">
        <v>6</v>
      </c>
      <c r="D181" s="9" t="s">
        <v>7</v>
      </c>
      <c r="E181" s="9" t="s">
        <v>8</v>
      </c>
      <c r="F181" s="7"/>
      <c r="G181" s="10" t="s">
        <v>4</v>
      </c>
      <c r="H181" s="9" t="s">
        <v>5</v>
      </c>
      <c r="I181" s="9" t="s">
        <v>6</v>
      </c>
      <c r="J181" s="9" t="s">
        <v>7</v>
      </c>
      <c r="K181" s="9" t="s">
        <v>8</v>
      </c>
    </row>
    <row r="182" spans="1:11" x14ac:dyDescent="0.2">
      <c r="A182" s="10" t="s">
        <v>9</v>
      </c>
      <c r="B182" s="9" t="s">
        <v>10</v>
      </c>
      <c r="C182" s="9" t="s">
        <v>11</v>
      </c>
      <c r="D182" s="9" t="s">
        <v>12</v>
      </c>
      <c r="E182" s="9" t="s">
        <v>13</v>
      </c>
      <c r="F182" s="7"/>
      <c r="G182" s="10" t="s">
        <v>9</v>
      </c>
      <c r="H182" s="9" t="s">
        <v>10</v>
      </c>
      <c r="I182" s="9" t="s">
        <v>11</v>
      </c>
      <c r="J182" s="9" t="s">
        <v>12</v>
      </c>
      <c r="K182" s="9" t="s">
        <v>13</v>
      </c>
    </row>
    <row r="185" spans="1:11" s="8" customFormat="1" x14ac:dyDescent="0.2">
      <c r="A185" s="8" t="s">
        <v>27</v>
      </c>
      <c r="B185" s="8">
        <f>SUM(B187:B196)</f>
        <v>6551</v>
      </c>
      <c r="C185" s="8">
        <f>SUM(C187:C196)</f>
        <v>88490</v>
      </c>
      <c r="D185" s="11">
        <f>SUM(D187:D196)</f>
        <v>908305217</v>
      </c>
      <c r="E185" s="12">
        <f>10299/3</f>
        <v>3433</v>
      </c>
      <c r="G185" s="8" t="s">
        <v>27</v>
      </c>
      <c r="H185" s="8">
        <f>SUM(H187:H196)</f>
        <v>1784</v>
      </c>
      <c r="I185" s="8">
        <f>SUM(I187:I196)</f>
        <v>53789</v>
      </c>
      <c r="J185" s="11">
        <f>SUM(J187:J196)</f>
        <v>472533767</v>
      </c>
      <c r="K185" s="12">
        <f>8790/3</f>
        <v>2930</v>
      </c>
    </row>
    <row r="186" spans="1:11" x14ac:dyDescent="0.2">
      <c r="A186" s="4" t="s">
        <v>28</v>
      </c>
      <c r="G186" s="4" t="s">
        <v>28</v>
      </c>
    </row>
    <row r="187" spans="1:11" x14ac:dyDescent="0.2">
      <c r="A187" s="4" t="s">
        <v>15</v>
      </c>
      <c r="B187" s="4">
        <v>1418</v>
      </c>
      <c r="C187" s="4">
        <v>0</v>
      </c>
      <c r="D187" s="4">
        <v>4890443</v>
      </c>
      <c r="E187" s="4">
        <f>10957/3</f>
        <v>3652.3333333333335</v>
      </c>
      <c r="G187" s="4" t="s">
        <v>15</v>
      </c>
      <c r="H187" s="4">
        <v>286</v>
      </c>
      <c r="I187" s="4">
        <v>0</v>
      </c>
      <c r="J187" s="4">
        <v>1302200</v>
      </c>
      <c r="K187" s="4">
        <f>7892/3</f>
        <v>2630.6666666666665</v>
      </c>
    </row>
    <row r="188" spans="1:11" x14ac:dyDescent="0.2">
      <c r="A188" s="4" t="s">
        <v>16</v>
      </c>
      <c r="B188" s="4">
        <v>2994</v>
      </c>
      <c r="C188" s="4">
        <v>5365</v>
      </c>
      <c r="D188" s="4">
        <v>67164991</v>
      </c>
      <c r="E188" s="4">
        <f>12865/3</f>
        <v>4288.333333333333</v>
      </c>
      <c r="G188" s="4" t="s">
        <v>16</v>
      </c>
      <c r="H188" s="4">
        <v>743</v>
      </c>
      <c r="I188" s="4">
        <v>1256</v>
      </c>
      <c r="J188" s="4">
        <v>13919864</v>
      </c>
      <c r="K188" s="4">
        <f>11177/3</f>
        <v>3725.6666666666665</v>
      </c>
    </row>
    <row r="189" spans="1:11" x14ac:dyDescent="0.2">
      <c r="A189" s="4" t="s">
        <v>17</v>
      </c>
      <c r="B189" s="4">
        <v>876</v>
      </c>
      <c r="C189" s="4">
        <v>5706</v>
      </c>
      <c r="D189" s="4">
        <v>56689779</v>
      </c>
      <c r="E189" s="4">
        <f>10156/3</f>
        <v>3385.3333333333335</v>
      </c>
      <c r="G189" s="4" t="s">
        <v>17</v>
      </c>
      <c r="H189" s="4">
        <v>204</v>
      </c>
      <c r="I189" s="4">
        <v>1388</v>
      </c>
      <c r="J189" s="4">
        <v>9826020</v>
      </c>
      <c r="K189" s="4">
        <f>7155/3</f>
        <v>2385</v>
      </c>
    </row>
    <row r="190" spans="1:11" x14ac:dyDescent="0.2">
      <c r="A190" s="4" t="s">
        <v>56</v>
      </c>
      <c r="B190" s="4">
        <v>548</v>
      </c>
      <c r="C190" s="4">
        <v>7465</v>
      </c>
      <c r="D190" s="4">
        <v>74889526</v>
      </c>
      <c r="E190" s="4">
        <f>10437/3</f>
        <v>3479</v>
      </c>
      <c r="G190" s="4" t="s">
        <v>56</v>
      </c>
      <c r="H190" s="4">
        <v>202</v>
      </c>
      <c r="I190" s="4">
        <v>2741</v>
      </c>
      <c r="J190" s="4">
        <v>15001832</v>
      </c>
      <c r="K190" s="4">
        <f>5550/3</f>
        <v>1850</v>
      </c>
    </row>
    <row r="191" spans="1:11" x14ac:dyDescent="0.2">
      <c r="A191" s="4" t="s">
        <v>18</v>
      </c>
      <c r="B191" s="4">
        <v>379</v>
      </c>
      <c r="C191" s="4">
        <v>11534</v>
      </c>
      <c r="D191" s="4">
        <v>124392572</v>
      </c>
      <c r="E191" s="4">
        <f>11028/3</f>
        <v>3676</v>
      </c>
      <c r="G191" s="4" t="s">
        <v>18</v>
      </c>
      <c r="H191" s="4">
        <v>179</v>
      </c>
      <c r="I191" s="4">
        <v>5494</v>
      </c>
      <c r="J191" s="4">
        <v>38382468</v>
      </c>
      <c r="K191" s="4">
        <f>6972/3</f>
        <v>2324</v>
      </c>
    </row>
    <row r="192" spans="1:11" x14ac:dyDescent="0.2">
      <c r="A192" s="4" t="s">
        <v>19</v>
      </c>
      <c r="B192" s="4">
        <v>157</v>
      </c>
      <c r="C192" s="4">
        <v>11198</v>
      </c>
      <c r="D192" s="4">
        <v>120345095</v>
      </c>
      <c r="E192" s="4">
        <f>10826/3</f>
        <v>3608.6666666666665</v>
      </c>
      <c r="G192" s="4" t="s">
        <v>19</v>
      </c>
      <c r="H192" s="4">
        <v>103</v>
      </c>
      <c r="I192" s="4">
        <v>7082</v>
      </c>
      <c r="J192" s="4">
        <v>60183867</v>
      </c>
      <c r="K192" s="4">
        <f>8509/3</f>
        <v>2836.3333333333335</v>
      </c>
    </row>
    <row r="193" spans="1:13" x14ac:dyDescent="0.2">
      <c r="A193" s="4" t="s">
        <v>20</v>
      </c>
      <c r="B193" s="4">
        <v>127</v>
      </c>
      <c r="C193" s="4">
        <v>19539</v>
      </c>
      <c r="D193" s="4">
        <v>176156479</v>
      </c>
      <c r="E193" s="4">
        <f>9030/3</f>
        <v>3010</v>
      </c>
      <c r="G193" s="4" t="s">
        <v>20</v>
      </c>
      <c r="H193" s="4">
        <v>53</v>
      </c>
      <c r="I193" s="4">
        <v>7197</v>
      </c>
      <c r="J193" s="4">
        <v>78994293</v>
      </c>
      <c r="K193" s="4">
        <f>10977/3</f>
        <v>3659</v>
      </c>
    </row>
    <row r="194" spans="1:13" x14ac:dyDescent="0.2">
      <c r="A194" s="4" t="s">
        <v>21</v>
      </c>
      <c r="B194" s="4">
        <v>32</v>
      </c>
      <c r="C194" s="5">
        <v>10804</v>
      </c>
      <c r="D194" s="5">
        <v>94649405</v>
      </c>
      <c r="E194" s="4">
        <f>8612/3</f>
        <v>2870.6666666666665</v>
      </c>
      <c r="G194" s="4" t="s">
        <v>58</v>
      </c>
      <c r="H194" s="4">
        <v>8</v>
      </c>
      <c r="I194" s="4">
        <v>3025</v>
      </c>
      <c r="J194" s="4">
        <v>72065682</v>
      </c>
      <c r="K194" s="4">
        <f>24094/3</f>
        <v>8031.333333333333</v>
      </c>
    </row>
    <row r="195" spans="1:13" x14ac:dyDescent="0.2">
      <c r="A195" s="4" t="s">
        <v>23</v>
      </c>
      <c r="B195" s="4">
        <v>16</v>
      </c>
      <c r="C195" s="5">
        <v>10586</v>
      </c>
      <c r="D195" s="5">
        <v>143464178</v>
      </c>
      <c r="E195" s="4">
        <f>13568/3</f>
        <v>4522.666666666667</v>
      </c>
      <c r="G195" s="4" t="s">
        <v>23</v>
      </c>
      <c r="H195" s="4">
        <v>3</v>
      </c>
      <c r="I195" s="4">
        <v>1735</v>
      </c>
      <c r="J195" s="4">
        <v>9859223</v>
      </c>
      <c r="K195" s="4">
        <f>5926/3</f>
        <v>1975.3333333333333</v>
      </c>
    </row>
    <row r="196" spans="1:13" x14ac:dyDescent="0.2">
      <c r="A196" s="4" t="s">
        <v>24</v>
      </c>
      <c r="B196" s="4">
        <v>4</v>
      </c>
      <c r="C196" s="5">
        <v>6293</v>
      </c>
      <c r="D196" s="5">
        <v>45662749</v>
      </c>
      <c r="E196" s="4">
        <f>7520/3</f>
        <v>2506.6666666666665</v>
      </c>
      <c r="G196" s="4" t="s">
        <v>24</v>
      </c>
      <c r="H196" s="4">
        <v>3</v>
      </c>
      <c r="I196" s="4">
        <v>23871</v>
      </c>
      <c r="J196" s="4">
        <v>172998318</v>
      </c>
      <c r="K196" s="4">
        <f>7527/3</f>
        <v>2509</v>
      </c>
    </row>
    <row r="198" spans="1:13" x14ac:dyDescent="0.2">
      <c r="A198" s="4" t="s">
        <v>66</v>
      </c>
    </row>
    <row r="201" spans="1:13" x14ac:dyDescent="0.2">
      <c r="A201" s="8"/>
      <c r="B201" s="8"/>
      <c r="C201" s="8"/>
      <c r="D201" s="11"/>
      <c r="E201" s="12"/>
      <c r="F201" s="8"/>
      <c r="G201" s="8"/>
      <c r="H201" s="8"/>
      <c r="I201" s="8"/>
      <c r="J201" s="11"/>
      <c r="K201" s="12"/>
      <c r="L201" s="8"/>
      <c r="M201" s="8"/>
    </row>
    <row r="203" spans="1:13" x14ac:dyDescent="0.2">
      <c r="A203" s="21" t="s">
        <v>65</v>
      </c>
      <c r="B203" s="27"/>
      <c r="C203" s="27"/>
      <c r="D203" s="27"/>
      <c r="E203" s="27"/>
      <c r="F203" s="27"/>
      <c r="G203" s="27"/>
      <c r="H203" s="27"/>
      <c r="I203" s="27"/>
      <c r="J203" s="27"/>
      <c r="K203" s="27"/>
    </row>
    <row r="204" spans="1:13" x14ac:dyDescent="0.2">
      <c r="A204" s="21" t="s">
        <v>63</v>
      </c>
      <c r="B204" s="22"/>
      <c r="C204" s="22"/>
      <c r="D204" s="22"/>
      <c r="E204" s="22"/>
      <c r="F204" s="22"/>
      <c r="G204" s="22"/>
      <c r="H204" s="22"/>
      <c r="I204" s="22"/>
      <c r="J204" s="22"/>
      <c r="K204" s="22"/>
    </row>
    <row r="205" spans="1:13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</row>
    <row r="206" spans="1:13" x14ac:dyDescent="0.2">
      <c r="A206" s="20" t="s">
        <v>42</v>
      </c>
      <c r="B206" s="20"/>
      <c r="C206" s="20"/>
      <c r="D206" s="20"/>
      <c r="E206" s="20"/>
      <c r="F206" s="7"/>
      <c r="G206" s="20" t="s">
        <v>43</v>
      </c>
      <c r="H206" s="20"/>
      <c r="I206" s="20"/>
      <c r="J206" s="20"/>
      <c r="K206" s="20"/>
    </row>
    <row r="207" spans="1:13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</row>
    <row r="208" spans="1:13" x14ac:dyDescent="0.2">
      <c r="A208" s="9"/>
      <c r="B208" s="9"/>
      <c r="C208" s="9"/>
      <c r="D208" s="9" t="s">
        <v>2</v>
      </c>
      <c r="E208" s="9" t="s">
        <v>3</v>
      </c>
      <c r="F208" s="7"/>
      <c r="G208" s="9"/>
      <c r="H208" s="9"/>
      <c r="I208" s="9"/>
      <c r="J208" s="9" t="s">
        <v>2</v>
      </c>
      <c r="K208" s="9" t="s">
        <v>3</v>
      </c>
    </row>
    <row r="209" spans="1:24" x14ac:dyDescent="0.2">
      <c r="A209" s="10" t="s">
        <v>4</v>
      </c>
      <c r="B209" s="9" t="s">
        <v>5</v>
      </c>
      <c r="C209" s="9" t="s">
        <v>6</v>
      </c>
      <c r="D209" s="9" t="s">
        <v>7</v>
      </c>
      <c r="E209" s="9" t="s">
        <v>8</v>
      </c>
      <c r="F209" s="7"/>
      <c r="G209" s="10" t="s">
        <v>4</v>
      </c>
      <c r="H209" s="9" t="s">
        <v>5</v>
      </c>
      <c r="I209" s="9" t="s">
        <v>6</v>
      </c>
      <c r="J209" s="9" t="s">
        <v>7</v>
      </c>
      <c r="K209" s="9" t="s">
        <v>8</v>
      </c>
    </row>
    <row r="210" spans="1:24" x14ac:dyDescent="0.2">
      <c r="A210" s="10" t="s">
        <v>9</v>
      </c>
      <c r="B210" s="9" t="s">
        <v>10</v>
      </c>
      <c r="C210" s="9" t="s">
        <v>11</v>
      </c>
      <c r="D210" s="9" t="s">
        <v>12</v>
      </c>
      <c r="E210" s="9" t="s">
        <v>13</v>
      </c>
      <c r="F210" s="7"/>
      <c r="G210" s="10" t="s">
        <v>9</v>
      </c>
      <c r="H210" s="9" t="s">
        <v>10</v>
      </c>
      <c r="I210" s="9" t="s">
        <v>11</v>
      </c>
      <c r="J210" s="9" t="s">
        <v>12</v>
      </c>
      <c r="K210" s="9" t="s">
        <v>13</v>
      </c>
    </row>
    <row r="212" spans="1:24" x14ac:dyDescent="0.2">
      <c r="O212" s="5" t="s">
        <v>28</v>
      </c>
    </row>
    <row r="213" spans="1:24" s="8" customFormat="1" x14ac:dyDescent="0.2">
      <c r="A213" s="8" t="s">
        <v>27</v>
      </c>
      <c r="B213" s="8">
        <f>SUM(B215:B224)</f>
        <v>11217</v>
      </c>
      <c r="C213" s="8">
        <f>SUM(C215:C224)</f>
        <v>162007</v>
      </c>
      <c r="D213" s="11">
        <f>SUM(D215:D224)</f>
        <v>1869344373</v>
      </c>
      <c r="E213" s="12">
        <f>11527/3</f>
        <v>3842.3333333333335</v>
      </c>
      <c r="G213" s="8" t="s">
        <v>27</v>
      </c>
      <c r="H213" s="8">
        <f>SUM(H215:H223)</f>
        <v>1439</v>
      </c>
      <c r="I213" s="8">
        <f>SUM(I215:I223)</f>
        <v>26608</v>
      </c>
      <c r="J213" s="11">
        <f>SUM(J215:J223)</f>
        <v>192438506</v>
      </c>
      <c r="K213" s="12">
        <f>7175/3</f>
        <v>2391.6666666666665</v>
      </c>
    </row>
    <row r="214" spans="1:24" x14ac:dyDescent="0.2">
      <c r="A214" s="4" t="s">
        <v>28</v>
      </c>
      <c r="G214" s="4" t="s">
        <v>28</v>
      </c>
    </row>
    <row r="215" spans="1:24" x14ac:dyDescent="0.2">
      <c r="A215" s="4" t="s">
        <v>15</v>
      </c>
      <c r="B215" s="4">
        <v>1303</v>
      </c>
      <c r="C215" s="4">
        <v>0</v>
      </c>
      <c r="D215" s="4">
        <v>8115957</v>
      </c>
      <c r="E215" s="4">
        <f>11941/3</f>
        <v>3980.3333333333335</v>
      </c>
      <c r="G215" s="4" t="s">
        <v>15</v>
      </c>
      <c r="H215" s="4">
        <v>281</v>
      </c>
      <c r="I215" s="4">
        <v>0</v>
      </c>
      <c r="J215" s="4">
        <v>1559841</v>
      </c>
      <c r="K215" s="4">
        <f>7684/3</f>
        <v>2561.3333333333335</v>
      </c>
    </row>
    <row r="216" spans="1:24" x14ac:dyDescent="0.2">
      <c r="A216" s="4" t="s">
        <v>16</v>
      </c>
      <c r="B216" s="4">
        <v>5493</v>
      </c>
      <c r="C216" s="4">
        <v>9416</v>
      </c>
      <c r="D216" s="4">
        <v>103349996</v>
      </c>
      <c r="E216" s="4">
        <f>10988/3</f>
        <v>3662.6666666666665</v>
      </c>
      <c r="G216" s="4" t="s">
        <v>16</v>
      </c>
      <c r="H216" s="4">
        <v>564</v>
      </c>
      <c r="I216" s="4">
        <v>988</v>
      </c>
      <c r="J216" s="4">
        <v>9709107</v>
      </c>
      <c r="K216" s="4">
        <f>9203/3</f>
        <v>3067.6666666666665</v>
      </c>
    </row>
    <row r="217" spans="1:24" x14ac:dyDescent="0.2">
      <c r="A217" s="4" t="s">
        <v>17</v>
      </c>
      <c r="B217" s="4">
        <v>1601</v>
      </c>
      <c r="C217" s="4">
        <v>10807</v>
      </c>
      <c r="D217" s="4">
        <v>92017240</v>
      </c>
      <c r="E217" s="4">
        <f>8516/3</f>
        <v>2838.6666666666665</v>
      </c>
      <c r="G217" s="4" t="s">
        <v>17</v>
      </c>
      <c r="H217" s="4">
        <v>187</v>
      </c>
      <c r="I217" s="4">
        <v>1267</v>
      </c>
      <c r="J217" s="4">
        <v>6899206</v>
      </c>
      <c r="K217" s="4">
        <f>5591/3</f>
        <v>1863.6666666666667</v>
      </c>
    </row>
    <row r="218" spans="1:24" x14ac:dyDescent="0.2">
      <c r="A218" s="4" t="s">
        <v>56</v>
      </c>
      <c r="B218" s="4">
        <v>1398</v>
      </c>
      <c r="C218" s="4">
        <v>19013</v>
      </c>
      <c r="D218" s="4">
        <v>162608949</v>
      </c>
      <c r="E218" s="4">
        <f>8604/3</f>
        <v>2868</v>
      </c>
      <c r="G218" s="4" t="s">
        <v>56</v>
      </c>
      <c r="H218" s="4">
        <v>188</v>
      </c>
      <c r="I218" s="4">
        <v>2607</v>
      </c>
      <c r="J218" s="4">
        <v>12126706</v>
      </c>
      <c r="K218" s="4">
        <f>4794/3</f>
        <v>1598</v>
      </c>
    </row>
    <row r="219" spans="1:24" x14ac:dyDescent="0.2">
      <c r="A219" s="4" t="s">
        <v>18</v>
      </c>
      <c r="B219" s="4">
        <v>880</v>
      </c>
      <c r="C219" s="4">
        <v>26859</v>
      </c>
      <c r="D219" s="4">
        <v>256806582</v>
      </c>
      <c r="E219" s="4">
        <f>9589/3</f>
        <v>3196.3333333333335</v>
      </c>
      <c r="G219" s="4" t="s">
        <v>18</v>
      </c>
      <c r="H219" s="4">
        <v>113</v>
      </c>
      <c r="I219" s="4">
        <v>3592</v>
      </c>
      <c r="J219" s="4">
        <v>18496375</v>
      </c>
      <c r="K219" s="4">
        <f>5138/3</f>
        <v>1712.6666666666667</v>
      </c>
    </row>
    <row r="220" spans="1:24" x14ac:dyDescent="0.2">
      <c r="A220" s="4" t="s">
        <v>19</v>
      </c>
      <c r="B220" s="4">
        <v>328</v>
      </c>
      <c r="C220" s="4">
        <v>23228</v>
      </c>
      <c r="D220" s="4">
        <v>231914573</v>
      </c>
      <c r="E220" s="4">
        <f>10057/3</f>
        <v>3352.3333333333335</v>
      </c>
      <c r="G220" s="4" t="s">
        <v>19</v>
      </c>
      <c r="H220" s="4">
        <v>65</v>
      </c>
      <c r="I220" s="4">
        <v>4461</v>
      </c>
      <c r="J220" s="4">
        <v>18327101</v>
      </c>
      <c r="K220" s="4">
        <f>4225/3</f>
        <v>1408.3333333333333</v>
      </c>
    </row>
    <row r="221" spans="1:24" x14ac:dyDescent="0.2">
      <c r="A221" s="4" t="s">
        <v>20</v>
      </c>
      <c r="B221" s="4">
        <v>166</v>
      </c>
      <c r="C221" s="4">
        <v>24512</v>
      </c>
      <c r="D221" s="4">
        <v>262900226</v>
      </c>
      <c r="E221" s="4">
        <f>10784/3</f>
        <v>3594.6666666666665</v>
      </c>
      <c r="G221" s="4" t="s">
        <v>20</v>
      </c>
      <c r="H221" s="4">
        <v>27</v>
      </c>
      <c r="I221" s="4">
        <v>3827</v>
      </c>
      <c r="J221" s="4">
        <v>28341332</v>
      </c>
      <c r="K221" s="4">
        <f>7138/3</f>
        <v>2379.3333333333335</v>
      </c>
    </row>
    <row r="222" spans="1:24" x14ac:dyDescent="0.2">
      <c r="A222" s="4" t="s">
        <v>21</v>
      </c>
      <c r="B222" s="4">
        <v>18</v>
      </c>
      <c r="C222" s="5">
        <v>6148</v>
      </c>
      <c r="D222" s="5">
        <v>85898474</v>
      </c>
      <c r="E222" s="4">
        <f>14002/3</f>
        <v>4667.333333333333</v>
      </c>
      <c r="G222" s="4" t="s">
        <v>21</v>
      </c>
      <c r="H222" s="4">
        <v>6</v>
      </c>
      <c r="I222" s="4">
        <v>1978</v>
      </c>
      <c r="J222" s="4">
        <v>11320548</v>
      </c>
      <c r="K222" s="4">
        <f>5179/3</f>
        <v>1726.3333333333333</v>
      </c>
      <c r="X222" s="4" t="s">
        <v>28</v>
      </c>
    </row>
    <row r="223" spans="1:24" x14ac:dyDescent="0.2">
      <c r="A223" s="4" t="s">
        <v>23</v>
      </c>
      <c r="B223" s="4">
        <v>17</v>
      </c>
      <c r="C223" s="5">
        <v>11375</v>
      </c>
      <c r="D223" s="5">
        <v>151321485</v>
      </c>
      <c r="E223" s="4">
        <f>13315/3</f>
        <v>4438.333333333333</v>
      </c>
      <c r="G223" s="4" t="s">
        <v>31</v>
      </c>
      <c r="H223" s="4">
        <f>6+2</f>
        <v>8</v>
      </c>
      <c r="I223" s="4">
        <f>3475+4413</f>
        <v>7888</v>
      </c>
      <c r="J223" s="4">
        <f>45355094+40303196</f>
        <v>85658290</v>
      </c>
      <c r="K223" s="4">
        <f>J223/(3181+4372+3301+4377+3475+4413)</f>
        <v>3705.1035944461264</v>
      </c>
    </row>
    <row r="224" spans="1:24" x14ac:dyDescent="0.2">
      <c r="A224" s="4" t="s">
        <v>24</v>
      </c>
      <c r="B224" s="4">
        <v>13</v>
      </c>
      <c r="C224" s="5">
        <v>30649</v>
      </c>
      <c r="D224" s="5">
        <v>514410891</v>
      </c>
      <c r="E224" s="4">
        <f>16778/3</f>
        <v>5592.666666666667</v>
      </c>
      <c r="G224" s="4" t="s">
        <v>28</v>
      </c>
      <c r="H224" s="4" t="s">
        <v>28</v>
      </c>
      <c r="J224" s="4" t="s">
        <v>28</v>
      </c>
    </row>
    <row r="227" spans="1:29" x14ac:dyDescent="0.2">
      <c r="A227" s="20" t="s">
        <v>44</v>
      </c>
      <c r="B227" s="20"/>
      <c r="C227" s="20"/>
      <c r="D227" s="20"/>
      <c r="E227" s="20"/>
      <c r="F227" s="7"/>
      <c r="G227" s="20" t="s">
        <v>45</v>
      </c>
      <c r="H227" s="20"/>
      <c r="I227" s="20"/>
      <c r="J227" s="20"/>
      <c r="K227" s="20"/>
    </row>
    <row r="228" spans="1:29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</row>
    <row r="229" spans="1:29" x14ac:dyDescent="0.2">
      <c r="A229" s="9"/>
      <c r="B229" s="9"/>
      <c r="C229" s="9"/>
      <c r="D229" s="9" t="s">
        <v>2</v>
      </c>
      <c r="E229" s="9" t="s">
        <v>3</v>
      </c>
      <c r="F229" s="7"/>
      <c r="G229" s="9"/>
      <c r="H229" s="9"/>
      <c r="I229" s="9"/>
      <c r="J229" s="9" t="s">
        <v>2</v>
      </c>
      <c r="K229" s="9" t="s">
        <v>3</v>
      </c>
    </row>
    <row r="230" spans="1:29" x14ac:dyDescent="0.2">
      <c r="A230" s="10" t="s">
        <v>4</v>
      </c>
      <c r="B230" s="9" t="s">
        <v>5</v>
      </c>
      <c r="C230" s="9" t="s">
        <v>6</v>
      </c>
      <c r="D230" s="9" t="s">
        <v>7</v>
      </c>
      <c r="E230" s="9" t="s">
        <v>8</v>
      </c>
      <c r="F230" s="7"/>
      <c r="G230" s="10" t="s">
        <v>4</v>
      </c>
      <c r="H230" s="9" t="s">
        <v>5</v>
      </c>
      <c r="I230" s="9" t="s">
        <v>6</v>
      </c>
      <c r="J230" s="9" t="s">
        <v>7</v>
      </c>
      <c r="K230" s="9" t="s">
        <v>8</v>
      </c>
    </row>
    <row r="231" spans="1:29" x14ac:dyDescent="0.2">
      <c r="A231" s="10" t="s">
        <v>9</v>
      </c>
      <c r="B231" s="9" t="s">
        <v>10</v>
      </c>
      <c r="C231" s="9" t="s">
        <v>11</v>
      </c>
      <c r="D231" s="9" t="s">
        <v>12</v>
      </c>
      <c r="E231" s="9" t="s">
        <v>13</v>
      </c>
      <c r="F231" s="7"/>
      <c r="G231" s="10" t="s">
        <v>9</v>
      </c>
      <c r="H231" s="9" t="s">
        <v>10</v>
      </c>
      <c r="I231" s="9" t="s">
        <v>11</v>
      </c>
      <c r="J231" s="9" t="s">
        <v>12</v>
      </c>
      <c r="K231" s="9" t="s">
        <v>13</v>
      </c>
    </row>
    <row r="234" spans="1:29" s="8" customFormat="1" x14ac:dyDescent="0.2">
      <c r="A234" s="8" t="s">
        <v>27</v>
      </c>
      <c r="B234" s="8">
        <f>SUM(B236:B244)</f>
        <v>6227</v>
      </c>
      <c r="C234" s="8">
        <f>SUM(C236:C244)</f>
        <v>126518</v>
      </c>
      <c r="D234" s="11">
        <f>SUM(D236:D244)</f>
        <v>632742237</v>
      </c>
      <c r="E234" s="12">
        <f>4982/3</f>
        <v>1660.6666666666667</v>
      </c>
      <c r="G234" s="8" t="s">
        <v>27</v>
      </c>
      <c r="H234" s="8">
        <f>SUM(H236:H244)</f>
        <v>5795</v>
      </c>
      <c r="I234" s="8">
        <f>SUM(I236:I244)</f>
        <v>41539</v>
      </c>
      <c r="J234" s="11">
        <f>SUM(J236:J244)</f>
        <v>385059545</v>
      </c>
      <c r="K234" s="12">
        <f>3089</f>
        <v>3089</v>
      </c>
      <c r="AA234" s="16"/>
    </row>
    <row r="235" spans="1:29" x14ac:dyDescent="0.2">
      <c r="A235" s="4" t="s">
        <v>28</v>
      </c>
      <c r="G235" s="4" t="s">
        <v>28</v>
      </c>
    </row>
    <row r="236" spans="1:29" x14ac:dyDescent="0.2">
      <c r="A236" s="4" t="s">
        <v>15</v>
      </c>
      <c r="B236" s="4">
        <v>487</v>
      </c>
      <c r="C236" s="4">
        <v>0</v>
      </c>
      <c r="D236" s="4">
        <v>4083417</v>
      </c>
      <c r="E236" s="4">
        <f>4621/3</f>
        <v>1540.3333333333333</v>
      </c>
      <c r="G236" s="4" t="s">
        <v>15</v>
      </c>
      <c r="H236" s="4">
        <f>629+30</f>
        <v>659</v>
      </c>
      <c r="I236" s="4">
        <v>0</v>
      </c>
      <c r="J236" s="4">
        <f>2114021+67205</f>
        <v>2181226</v>
      </c>
      <c r="K236" s="4">
        <v>2679.6388206388206</v>
      </c>
      <c r="O236" s="13"/>
      <c r="P236" s="13"/>
      <c r="Y236" s="17"/>
      <c r="Z236" s="17"/>
      <c r="AA236" s="17"/>
      <c r="AB236" s="17"/>
      <c r="AC236" s="17"/>
    </row>
    <row r="237" spans="1:29" x14ac:dyDescent="0.2">
      <c r="A237" s="4" t="s">
        <v>16</v>
      </c>
      <c r="B237" s="4">
        <v>971</v>
      </c>
      <c r="C237" s="4">
        <v>2406</v>
      </c>
      <c r="D237" s="4">
        <v>21146377</v>
      </c>
      <c r="E237" s="4">
        <f>8381/3</f>
        <v>2793.6666666666665</v>
      </c>
      <c r="G237" s="4" t="s">
        <v>16</v>
      </c>
      <c r="H237" s="4">
        <f>2934+12</f>
        <v>2946</v>
      </c>
      <c r="I237" s="4">
        <f>5717+13</f>
        <v>5730</v>
      </c>
      <c r="J237" s="4">
        <f>49934401+291217</f>
        <v>50225618</v>
      </c>
      <c r="K237" s="4">
        <v>2929.8033016391532</v>
      </c>
      <c r="O237" s="13"/>
      <c r="P237" s="13"/>
      <c r="Y237" s="17"/>
      <c r="Z237" s="17"/>
      <c r="AA237" s="17"/>
      <c r="AB237" s="17"/>
      <c r="AC237" s="17"/>
    </row>
    <row r="238" spans="1:29" x14ac:dyDescent="0.2">
      <c r="A238" s="4" t="s">
        <v>17</v>
      </c>
      <c r="B238" s="4">
        <v>910</v>
      </c>
      <c r="C238" s="4">
        <v>6332</v>
      </c>
      <c r="D238" s="4">
        <v>26877873</v>
      </c>
      <c r="E238" s="4">
        <f>4256/3</f>
        <v>1418.6666666666667</v>
      </c>
      <c r="G238" s="4" t="s">
        <v>17</v>
      </c>
      <c r="H238" s="4">
        <v>1144</v>
      </c>
      <c r="I238" s="4">
        <v>7538</v>
      </c>
      <c r="J238" s="4">
        <v>63108727</v>
      </c>
      <c r="K238" s="4">
        <v>2789.4592910183874</v>
      </c>
      <c r="O238" s="13"/>
      <c r="P238" s="13"/>
      <c r="Y238" s="17"/>
      <c r="Z238" s="17"/>
      <c r="AA238" s="17"/>
      <c r="AB238" s="17"/>
      <c r="AC238" s="17"/>
    </row>
    <row r="239" spans="1:29" x14ac:dyDescent="0.2">
      <c r="A239" s="4" t="s">
        <v>56</v>
      </c>
      <c r="B239" s="4">
        <v>1610</v>
      </c>
      <c r="C239" s="4">
        <v>23102</v>
      </c>
      <c r="D239" s="4">
        <v>93438393</v>
      </c>
      <c r="E239" s="4">
        <f>4111/3</f>
        <v>1370.3333333333333</v>
      </c>
      <c r="G239" s="4" t="s">
        <v>56</v>
      </c>
      <c r="H239" s="4">
        <v>711</v>
      </c>
      <c r="I239" s="4">
        <v>9312</v>
      </c>
      <c r="J239" s="4">
        <v>78346311</v>
      </c>
      <c r="K239" s="4">
        <v>2825.7343648560918</v>
      </c>
      <c r="O239" s="13"/>
      <c r="P239" s="13"/>
      <c r="Y239" s="17"/>
      <c r="Z239" s="17"/>
      <c r="AA239" s="17"/>
      <c r="AB239" s="17"/>
      <c r="AC239" s="17"/>
    </row>
    <row r="240" spans="1:29" x14ac:dyDescent="0.2">
      <c r="A240" s="4" t="s">
        <v>18</v>
      </c>
      <c r="B240" s="4">
        <v>1799</v>
      </c>
      <c r="C240" s="4">
        <v>53239</v>
      </c>
      <c r="D240" s="4">
        <v>230234737</v>
      </c>
      <c r="E240" s="4">
        <f>4355/3</f>
        <v>1451.6666666666667</v>
      </c>
      <c r="G240" s="4" t="s">
        <v>18</v>
      </c>
      <c r="H240" s="4">
        <v>243</v>
      </c>
      <c r="I240" s="4">
        <v>7206</v>
      </c>
      <c r="J240" s="4">
        <v>67703025</v>
      </c>
      <c r="K240" s="4">
        <v>3165.7638174506687</v>
      </c>
      <c r="O240" s="13"/>
      <c r="P240" s="13"/>
      <c r="Y240" s="17"/>
      <c r="Z240" s="17"/>
      <c r="AA240" s="17"/>
      <c r="AB240" s="17"/>
      <c r="AC240" s="17"/>
    </row>
    <row r="241" spans="1:29" x14ac:dyDescent="0.2">
      <c r="A241" s="4" t="s">
        <v>19</v>
      </c>
      <c r="B241" s="4">
        <v>370</v>
      </c>
      <c r="C241" s="4">
        <v>24279</v>
      </c>
      <c r="D241" s="4">
        <v>128814054</v>
      </c>
      <c r="E241" s="4">
        <f>5269/3</f>
        <v>1756.3333333333333</v>
      </c>
      <c r="G241" s="4" t="s">
        <v>19</v>
      </c>
      <c r="H241" s="4">
        <v>57</v>
      </c>
      <c r="I241" s="4">
        <v>3892</v>
      </c>
      <c r="J241" s="4">
        <v>36083003</v>
      </c>
      <c r="K241" s="4">
        <v>3136.0162523900572</v>
      </c>
      <c r="O241" s="13"/>
      <c r="P241" s="13"/>
      <c r="Y241" s="17"/>
      <c r="Z241" s="17"/>
      <c r="AA241" s="17"/>
      <c r="AB241" s="17"/>
      <c r="AC241" s="17"/>
    </row>
    <row r="242" spans="1:29" x14ac:dyDescent="0.2">
      <c r="A242" s="4" t="s">
        <v>20</v>
      </c>
      <c r="B242" s="4">
        <v>63</v>
      </c>
      <c r="C242" s="4">
        <v>8491</v>
      </c>
      <c r="D242" s="4">
        <v>54653855</v>
      </c>
      <c r="E242" s="4">
        <f>6422/3</f>
        <v>2140.6666666666665</v>
      </c>
      <c r="G242" s="4" t="s">
        <v>20</v>
      </c>
      <c r="H242" s="4">
        <v>26</v>
      </c>
      <c r="I242" s="4">
        <v>3686</v>
      </c>
      <c r="J242" s="4">
        <v>44307540</v>
      </c>
      <c r="K242" s="4">
        <v>4055.6100686498858</v>
      </c>
      <c r="O242" s="13"/>
      <c r="P242" s="13"/>
      <c r="Y242" s="17"/>
      <c r="Z242" s="17"/>
      <c r="AA242" s="17"/>
      <c r="AB242" s="17"/>
      <c r="AC242" s="17"/>
    </row>
    <row r="243" spans="1:29" x14ac:dyDescent="0.2">
      <c r="A243" s="4" t="s">
        <v>21</v>
      </c>
      <c r="B243" s="4">
        <v>10</v>
      </c>
      <c r="C243" s="5">
        <v>2965</v>
      </c>
      <c r="D243" s="5">
        <v>20967382</v>
      </c>
      <c r="E243" s="4">
        <f>7171/3</f>
        <v>2390.3333333333335</v>
      </c>
      <c r="G243" s="4" t="s">
        <v>21</v>
      </c>
      <c r="H243" s="4">
        <v>6</v>
      </c>
      <c r="I243" s="4">
        <v>2216</v>
      </c>
      <c r="J243" s="4">
        <v>16389101</v>
      </c>
      <c r="K243" s="4">
        <v>2467.8664357777443</v>
      </c>
      <c r="O243" s="13"/>
      <c r="P243" s="13"/>
      <c r="Y243" s="17"/>
      <c r="Z243" s="17"/>
      <c r="AA243" s="17"/>
      <c r="AB243" s="17"/>
      <c r="AC243" s="17"/>
    </row>
    <row r="244" spans="1:29" x14ac:dyDescent="0.2">
      <c r="A244" s="4" t="s">
        <v>31</v>
      </c>
      <c r="B244" s="4">
        <f>6+1</f>
        <v>7</v>
      </c>
      <c r="C244" s="5">
        <f>4067+1637</f>
        <v>5704</v>
      </c>
      <c r="D244" s="5">
        <f>41376052+11150097</f>
        <v>52526149</v>
      </c>
      <c r="E244" s="4">
        <f>D243/(4172+1671+4164+1657+4067+1637)</f>
        <v>1207.2421695071396</v>
      </c>
      <c r="G244" s="4" t="s">
        <v>54</v>
      </c>
      <c r="H244" s="4">
        <v>3</v>
      </c>
      <c r="I244" s="4">
        <v>1959</v>
      </c>
      <c r="J244" s="4">
        <v>26714994</v>
      </c>
      <c r="K244" s="4">
        <v>4551.1063032367974</v>
      </c>
      <c r="O244" s="13"/>
      <c r="P244" s="13"/>
      <c r="Y244" s="17"/>
      <c r="Z244" s="17"/>
      <c r="AA244" s="17"/>
      <c r="AB244" s="17"/>
      <c r="AC244" s="17"/>
    </row>
    <row r="245" spans="1:29" x14ac:dyDescent="0.2">
      <c r="C245" s="5" t="s">
        <v>28</v>
      </c>
      <c r="D245" s="5"/>
      <c r="O245" s="13"/>
      <c r="P245" s="13"/>
      <c r="Y245" s="17"/>
      <c r="Z245" s="17"/>
      <c r="AA245" s="17"/>
      <c r="AB245" s="17"/>
      <c r="AC245" s="17"/>
    </row>
    <row r="246" spans="1:29" x14ac:dyDescent="0.2">
      <c r="Y246" s="17"/>
      <c r="Z246" s="17"/>
      <c r="AA246" s="17"/>
      <c r="AB246" s="17"/>
      <c r="AC246" s="17"/>
    </row>
    <row r="247" spans="1:29" x14ac:dyDescent="0.2">
      <c r="A247" s="4" t="s">
        <v>66</v>
      </c>
    </row>
    <row r="250" spans="1:29" x14ac:dyDescent="0.2">
      <c r="A250" s="8"/>
      <c r="B250" s="8"/>
      <c r="C250" s="8"/>
      <c r="D250" s="11"/>
      <c r="E250" s="12"/>
      <c r="F250" s="8"/>
      <c r="G250" s="8"/>
      <c r="H250" s="8"/>
      <c r="I250" s="8"/>
      <c r="J250" s="11"/>
      <c r="K250" s="12"/>
      <c r="L250" s="8"/>
      <c r="M250" s="8"/>
    </row>
    <row r="252" spans="1:29" x14ac:dyDescent="0.2">
      <c r="A252" s="21" t="s">
        <v>65</v>
      </c>
      <c r="B252" s="27"/>
      <c r="C252" s="27"/>
      <c r="D252" s="27"/>
      <c r="E252" s="27"/>
      <c r="F252" s="27"/>
      <c r="G252" s="27"/>
      <c r="H252" s="27"/>
      <c r="I252" s="27"/>
      <c r="J252" s="27"/>
      <c r="K252" s="27"/>
    </row>
    <row r="253" spans="1:29" x14ac:dyDescent="0.2">
      <c r="A253" s="21" t="s">
        <v>63</v>
      </c>
      <c r="B253" s="22"/>
      <c r="C253" s="22"/>
      <c r="D253" s="22"/>
      <c r="E253" s="22"/>
      <c r="F253" s="22"/>
      <c r="G253" s="22"/>
      <c r="H253" s="22"/>
      <c r="I253" s="22"/>
      <c r="J253" s="22"/>
      <c r="K253" s="22"/>
    </row>
    <row r="254" spans="1:29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</row>
    <row r="255" spans="1:29" x14ac:dyDescent="0.2">
      <c r="A255" s="20" t="s">
        <v>53</v>
      </c>
      <c r="B255" s="20"/>
      <c r="C255" s="20"/>
      <c r="D255" s="20"/>
      <c r="E255" s="20"/>
      <c r="F255" s="7"/>
      <c r="G255" s="20" t="s">
        <v>46</v>
      </c>
      <c r="H255" s="20"/>
      <c r="I255" s="20"/>
      <c r="J255" s="20"/>
      <c r="K255" s="20"/>
    </row>
    <row r="256" spans="1:29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1:11" x14ac:dyDescent="0.2">
      <c r="A257" s="9"/>
      <c r="B257" s="9"/>
      <c r="C257" s="9"/>
      <c r="D257" s="9" t="s">
        <v>2</v>
      </c>
      <c r="E257" s="9" t="s">
        <v>3</v>
      </c>
      <c r="F257" s="7"/>
      <c r="G257" s="9"/>
      <c r="H257" s="9"/>
      <c r="I257" s="9"/>
      <c r="J257" s="9" t="s">
        <v>2</v>
      </c>
      <c r="K257" s="9" t="s">
        <v>3</v>
      </c>
    </row>
    <row r="258" spans="1:11" x14ac:dyDescent="0.2">
      <c r="A258" s="10" t="s">
        <v>4</v>
      </c>
      <c r="B258" s="9" t="s">
        <v>5</v>
      </c>
      <c r="C258" s="9" t="s">
        <v>6</v>
      </c>
      <c r="D258" s="9" t="s">
        <v>7</v>
      </c>
      <c r="E258" s="9" t="s">
        <v>8</v>
      </c>
      <c r="F258" s="7"/>
      <c r="G258" s="10" t="s">
        <v>4</v>
      </c>
      <c r="H258" s="9" t="s">
        <v>5</v>
      </c>
      <c r="I258" s="9" t="s">
        <v>6</v>
      </c>
      <c r="J258" s="9" t="s">
        <v>7</v>
      </c>
      <c r="K258" s="9" t="s">
        <v>8</v>
      </c>
    </row>
    <row r="259" spans="1:11" x14ac:dyDescent="0.2">
      <c r="A259" s="10" t="s">
        <v>9</v>
      </c>
      <c r="B259" s="9" t="s">
        <v>10</v>
      </c>
      <c r="C259" s="9" t="s">
        <v>11</v>
      </c>
      <c r="D259" s="9" t="s">
        <v>12</v>
      </c>
      <c r="E259" s="9" t="s">
        <v>13</v>
      </c>
      <c r="F259" s="7"/>
      <c r="G259" s="10" t="s">
        <v>9</v>
      </c>
      <c r="H259" s="9" t="s">
        <v>10</v>
      </c>
      <c r="I259" s="9" t="s">
        <v>11</v>
      </c>
      <c r="J259" s="9" t="s">
        <v>12</v>
      </c>
      <c r="K259" s="9" t="s">
        <v>13</v>
      </c>
    </row>
    <row r="262" spans="1:11" s="8" customFormat="1" x14ac:dyDescent="0.2">
      <c r="A262" s="8" t="s">
        <v>27</v>
      </c>
      <c r="B262" s="8">
        <f>SUM(B264:B273)</f>
        <v>4239</v>
      </c>
      <c r="C262" s="8">
        <f>SUM(C264:C273)</f>
        <v>259701</v>
      </c>
      <c r="D262" s="11">
        <f>SUM( D264:D273)</f>
        <v>3028984874</v>
      </c>
      <c r="E262" s="12">
        <f>11728/3</f>
        <v>3909.3333333333335</v>
      </c>
      <c r="G262" s="8" t="s">
        <v>27</v>
      </c>
      <c r="H262" s="8">
        <f>SUM(H264:H273)</f>
        <v>538</v>
      </c>
      <c r="I262" s="8">
        <f>SUM(I264:I273)</f>
        <v>37934</v>
      </c>
      <c r="J262" s="11">
        <f>SUM(J264:J273)</f>
        <v>641306963</v>
      </c>
      <c r="K262" s="12">
        <f>17051/3</f>
        <v>5683.666666666667</v>
      </c>
    </row>
    <row r="263" spans="1:11" x14ac:dyDescent="0.2">
      <c r="A263" s="4" t="s">
        <v>28</v>
      </c>
      <c r="G263" s="4" t="s">
        <v>28</v>
      </c>
    </row>
    <row r="264" spans="1:11" x14ac:dyDescent="0.2">
      <c r="A264" s="4" t="s">
        <v>15</v>
      </c>
      <c r="B264" s="4">
        <f>SUM(H264,H286,H315)</f>
        <v>105</v>
      </c>
      <c r="C264" s="4">
        <f>SUM(I264,I286,I315)</f>
        <v>0</v>
      </c>
      <c r="D264" s="4">
        <f>SUM(J264,J286,J315)</f>
        <v>68713</v>
      </c>
      <c r="E264" s="4">
        <f>7635/3</f>
        <v>2545</v>
      </c>
      <c r="G264" s="4" t="s">
        <v>15</v>
      </c>
      <c r="H264" s="4">
        <v>21</v>
      </c>
      <c r="I264" s="4">
        <v>0</v>
      </c>
      <c r="J264" s="4">
        <v>5088</v>
      </c>
      <c r="K264" s="4">
        <f>5088/3</f>
        <v>1696</v>
      </c>
    </row>
    <row r="265" spans="1:11" x14ac:dyDescent="0.2">
      <c r="A265" s="4" t="s">
        <v>16</v>
      </c>
      <c r="B265" s="4">
        <f t="shared" ref="B265:D273" si="4">SUM(H265,H287,H316)</f>
        <v>952</v>
      </c>
      <c r="C265" s="4">
        <f t="shared" si="4"/>
        <v>2038</v>
      </c>
      <c r="D265" s="4">
        <f t="shared" si="4"/>
        <v>22948701</v>
      </c>
      <c r="E265" s="4">
        <f>11151/3</f>
        <v>3717</v>
      </c>
      <c r="G265" s="4" t="s">
        <v>16</v>
      </c>
      <c r="H265" s="4">
        <v>219</v>
      </c>
      <c r="I265" s="4">
        <v>430</v>
      </c>
      <c r="J265" s="4">
        <v>6090323</v>
      </c>
      <c r="K265" s="4">
        <f>14065/3</f>
        <v>4688.333333333333</v>
      </c>
    </row>
    <row r="266" spans="1:11" x14ac:dyDescent="0.2">
      <c r="A266" s="4" t="s">
        <v>17</v>
      </c>
      <c r="B266" s="4">
        <f t="shared" si="4"/>
        <v>742</v>
      </c>
      <c r="C266" s="4">
        <f t="shared" si="4"/>
        <v>4945</v>
      </c>
      <c r="D266" s="4">
        <f t="shared" si="4"/>
        <v>47604736</v>
      </c>
      <c r="E266" s="4">
        <f>9671/3</f>
        <v>3223.6666666666665</v>
      </c>
      <c r="G266" s="4" t="s">
        <v>17</v>
      </c>
      <c r="H266" s="4">
        <v>82</v>
      </c>
      <c r="I266" s="4">
        <v>553</v>
      </c>
      <c r="J266" s="4">
        <v>8064751</v>
      </c>
      <c r="K266" s="4">
        <f>14619/3</f>
        <v>4873</v>
      </c>
    </row>
    <row r="267" spans="1:11" x14ac:dyDescent="0.2">
      <c r="A267" s="4" t="s">
        <v>56</v>
      </c>
      <c r="B267" s="4">
        <f t="shared" si="4"/>
        <v>587</v>
      </c>
      <c r="C267" s="4">
        <f t="shared" si="4"/>
        <v>8150</v>
      </c>
      <c r="D267" s="4">
        <f t="shared" si="4"/>
        <v>89379555</v>
      </c>
      <c r="E267" s="4">
        <f>10948/3</f>
        <v>3649.3333333333335</v>
      </c>
      <c r="G267" s="4" t="s">
        <v>56</v>
      </c>
      <c r="H267" s="4">
        <v>69</v>
      </c>
      <c r="I267" s="4">
        <v>964</v>
      </c>
      <c r="J267" s="4">
        <v>15594077</v>
      </c>
      <c r="K267" s="4">
        <f>16221/3</f>
        <v>5407</v>
      </c>
    </row>
    <row r="268" spans="1:11" x14ac:dyDescent="0.2">
      <c r="A268" s="4" t="s">
        <v>18</v>
      </c>
      <c r="B268" s="4">
        <f t="shared" si="4"/>
        <v>696</v>
      </c>
      <c r="C268" s="4">
        <f t="shared" si="4"/>
        <v>22908</v>
      </c>
      <c r="D268" s="4">
        <f t="shared" si="4"/>
        <v>249166564</v>
      </c>
      <c r="E268" s="4">
        <f>10906/3</f>
        <v>3635.3333333333335</v>
      </c>
      <c r="G268" s="4" t="s">
        <v>18</v>
      </c>
      <c r="H268" s="4">
        <v>71</v>
      </c>
      <c r="I268" s="4">
        <v>2274</v>
      </c>
      <c r="J268" s="4">
        <v>35644216</v>
      </c>
      <c r="K268" s="4">
        <f>15854/3</f>
        <v>5284.666666666667</v>
      </c>
    </row>
    <row r="269" spans="1:11" x14ac:dyDescent="0.2">
      <c r="A269" s="4" t="s">
        <v>19</v>
      </c>
      <c r="B269" s="4">
        <f t="shared" si="4"/>
        <v>753</v>
      </c>
      <c r="C269" s="4">
        <f t="shared" si="4"/>
        <v>52576</v>
      </c>
      <c r="D269" s="4">
        <f t="shared" si="4"/>
        <v>539786292</v>
      </c>
      <c r="E269" s="4">
        <f>10217/3</f>
        <v>3405.6666666666665</v>
      </c>
      <c r="F269" s="4" t="s">
        <v>28</v>
      </c>
      <c r="G269" s="4" t="s">
        <v>19</v>
      </c>
      <c r="H269" s="4">
        <v>41</v>
      </c>
      <c r="I269" s="4">
        <v>2926</v>
      </c>
      <c r="J269" s="4">
        <v>48751392</v>
      </c>
      <c r="K269" s="4">
        <f>16711/3</f>
        <v>5570.333333333333</v>
      </c>
    </row>
    <row r="270" spans="1:11" x14ac:dyDescent="0.2">
      <c r="A270" s="4" t="s">
        <v>20</v>
      </c>
      <c r="B270" s="4">
        <f t="shared" si="4"/>
        <v>293</v>
      </c>
      <c r="C270" s="4">
        <f t="shared" si="4"/>
        <v>42877</v>
      </c>
      <c r="D270" s="4">
        <f t="shared" si="4"/>
        <v>475007966</v>
      </c>
      <c r="E270" s="4">
        <f>10041/3</f>
        <v>3347</v>
      </c>
      <c r="G270" s="4" t="s">
        <v>20</v>
      </c>
      <c r="H270" s="4">
        <v>21</v>
      </c>
      <c r="I270" s="4">
        <v>3359</v>
      </c>
      <c r="J270" s="4">
        <v>61615333</v>
      </c>
      <c r="K270" s="4">
        <f>18420/3</f>
        <v>6140</v>
      </c>
    </row>
    <row r="271" spans="1:11" x14ac:dyDescent="0.2">
      <c r="A271" s="4" t="s">
        <v>21</v>
      </c>
      <c r="B271" s="4">
        <f t="shared" si="4"/>
        <v>67</v>
      </c>
      <c r="C271" s="5">
        <f t="shared" si="4"/>
        <v>22927</v>
      </c>
      <c r="D271" s="5">
        <f t="shared" si="4"/>
        <v>268536571</v>
      </c>
      <c r="E271" s="4">
        <f>11734/3</f>
        <v>3911.3333333333335</v>
      </c>
      <c r="G271" s="4" t="s">
        <v>21</v>
      </c>
      <c r="H271" s="4">
        <v>6</v>
      </c>
      <c r="I271" s="4">
        <v>2149</v>
      </c>
      <c r="J271" s="4">
        <v>46040862</v>
      </c>
      <c r="K271" s="4">
        <f>21424/3</f>
        <v>7141.333333333333</v>
      </c>
    </row>
    <row r="272" spans="1:11" x14ac:dyDescent="0.2">
      <c r="A272" s="4" t="s">
        <v>23</v>
      </c>
      <c r="B272" s="4">
        <f t="shared" si="4"/>
        <v>26</v>
      </c>
      <c r="C272" s="5">
        <f t="shared" si="4"/>
        <v>17383</v>
      </c>
      <c r="D272" s="5">
        <f t="shared" si="4"/>
        <v>183207409</v>
      </c>
      <c r="E272" s="4">
        <f>10653/3</f>
        <v>3551</v>
      </c>
      <c r="G272" s="4" t="s">
        <v>55</v>
      </c>
      <c r="H272" s="4">
        <v>4</v>
      </c>
      <c r="I272" s="4">
        <v>2304</v>
      </c>
      <c r="J272" s="4">
        <v>36161666</v>
      </c>
      <c r="K272" s="4">
        <f>15711/3</f>
        <v>5237</v>
      </c>
    </row>
    <row r="273" spans="1:11" x14ac:dyDescent="0.2">
      <c r="A273" s="4" t="s">
        <v>24</v>
      </c>
      <c r="B273" s="4">
        <f t="shared" si="4"/>
        <v>18</v>
      </c>
      <c r="C273" s="5">
        <f t="shared" si="4"/>
        <v>85897</v>
      </c>
      <c r="D273" s="5">
        <f t="shared" si="4"/>
        <v>1153278367</v>
      </c>
      <c r="E273" s="4">
        <f>13675/3</f>
        <v>4558.333333333333</v>
      </c>
      <c r="G273" s="4" t="s">
        <v>24</v>
      </c>
      <c r="H273" s="4">
        <v>4</v>
      </c>
      <c r="I273" s="4">
        <v>22975</v>
      </c>
      <c r="J273" s="4">
        <v>383339255</v>
      </c>
      <c r="K273" s="4">
        <f>16885/3</f>
        <v>5628.333333333333</v>
      </c>
    </row>
    <row r="277" spans="1:11" x14ac:dyDescent="0.2">
      <c r="A277" s="20" t="s">
        <v>47</v>
      </c>
      <c r="B277" s="20"/>
      <c r="C277" s="20"/>
      <c r="D277" s="20"/>
      <c r="E277" s="20"/>
      <c r="F277" s="7"/>
      <c r="G277" s="20" t="s">
        <v>48</v>
      </c>
      <c r="H277" s="20"/>
      <c r="I277" s="20"/>
      <c r="J277" s="20"/>
      <c r="K277" s="20"/>
    </row>
    <row r="278" spans="1:1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</row>
    <row r="279" spans="1:11" x14ac:dyDescent="0.2">
      <c r="A279" s="9"/>
      <c r="B279" s="9"/>
      <c r="C279" s="9"/>
      <c r="D279" s="9" t="s">
        <v>2</v>
      </c>
      <c r="E279" s="9" t="s">
        <v>3</v>
      </c>
      <c r="F279" s="7"/>
      <c r="G279" s="9"/>
      <c r="H279" s="9"/>
      <c r="I279" s="9"/>
      <c r="J279" s="9" t="s">
        <v>2</v>
      </c>
      <c r="K279" s="9" t="s">
        <v>3</v>
      </c>
    </row>
    <row r="280" spans="1:11" x14ac:dyDescent="0.2">
      <c r="A280" s="10" t="s">
        <v>4</v>
      </c>
      <c r="B280" s="9" t="s">
        <v>5</v>
      </c>
      <c r="C280" s="9" t="s">
        <v>6</v>
      </c>
      <c r="D280" s="9" t="s">
        <v>7</v>
      </c>
      <c r="E280" s="9" t="s">
        <v>8</v>
      </c>
      <c r="F280" s="7"/>
      <c r="G280" s="10" t="s">
        <v>4</v>
      </c>
      <c r="H280" s="9" t="s">
        <v>5</v>
      </c>
      <c r="I280" s="9" t="s">
        <v>6</v>
      </c>
      <c r="J280" s="9" t="s">
        <v>7</v>
      </c>
      <c r="K280" s="9" t="s">
        <v>8</v>
      </c>
    </row>
    <row r="281" spans="1:11" x14ac:dyDescent="0.2">
      <c r="A281" s="10" t="s">
        <v>9</v>
      </c>
      <c r="B281" s="9" t="s">
        <v>10</v>
      </c>
      <c r="C281" s="9" t="s">
        <v>11</v>
      </c>
      <c r="D281" s="9" t="s">
        <v>12</v>
      </c>
      <c r="E281" s="9" t="s">
        <v>13</v>
      </c>
      <c r="F281" s="7"/>
      <c r="G281" s="10" t="s">
        <v>9</v>
      </c>
      <c r="H281" s="9" t="s">
        <v>10</v>
      </c>
      <c r="I281" s="9" t="s">
        <v>11</v>
      </c>
      <c r="J281" s="9" t="s">
        <v>12</v>
      </c>
      <c r="K281" s="9" t="s">
        <v>13</v>
      </c>
    </row>
    <row r="284" spans="1:11" s="8" customFormat="1" x14ac:dyDescent="0.2">
      <c r="A284" s="8" t="s">
        <v>27</v>
      </c>
      <c r="B284" s="8">
        <f>SUM(B286:B297)</f>
        <v>26</v>
      </c>
      <c r="C284" s="8">
        <f>SUM(C286:C297)</f>
        <v>15572</v>
      </c>
      <c r="D284" s="11">
        <f>SUM(D286:D297)</f>
        <v>282272873</v>
      </c>
      <c r="E284" s="12">
        <f>18225/3</f>
        <v>6075</v>
      </c>
      <c r="G284" s="8" t="s">
        <v>27</v>
      </c>
      <c r="H284" s="8">
        <f>SUM(H286:H295)</f>
        <v>952</v>
      </c>
      <c r="I284" s="8">
        <f>SUM(I286:I295)</f>
        <v>88525</v>
      </c>
      <c r="J284" s="11">
        <f>SUM(J286:J295)</f>
        <v>1056149146</v>
      </c>
      <c r="K284" s="12">
        <f>12156/3</f>
        <v>4052</v>
      </c>
    </row>
    <row r="285" spans="1:11" x14ac:dyDescent="0.2">
      <c r="G285" s="4" t="s">
        <v>28</v>
      </c>
    </row>
    <row r="286" spans="1:11" x14ac:dyDescent="0.2">
      <c r="A286" s="4">
        <v>0</v>
      </c>
      <c r="B286" s="4">
        <v>0</v>
      </c>
      <c r="C286" s="4">
        <v>0</v>
      </c>
      <c r="D286" s="4">
        <v>0</v>
      </c>
      <c r="E286" s="4">
        <v>0</v>
      </c>
      <c r="G286" s="4">
        <v>0</v>
      </c>
      <c r="H286" s="4">
        <v>36</v>
      </c>
      <c r="I286" s="4">
        <v>0</v>
      </c>
      <c r="J286" s="4">
        <v>30757</v>
      </c>
      <c r="K286" s="4">
        <f>10252/3</f>
        <v>3417.3333333333335</v>
      </c>
    </row>
    <row r="287" spans="1:11" x14ac:dyDescent="0.2">
      <c r="A287" s="4" t="s">
        <v>16</v>
      </c>
      <c r="B287" s="4">
        <v>6</v>
      </c>
      <c r="C287" s="4">
        <v>16</v>
      </c>
      <c r="D287" s="4">
        <v>255977</v>
      </c>
      <c r="E287" s="4">
        <f>15998/3</f>
        <v>5332.666666666667</v>
      </c>
      <c r="G287" s="4" t="s">
        <v>16</v>
      </c>
      <c r="H287" s="4">
        <v>329</v>
      </c>
      <c r="I287" s="4">
        <v>627</v>
      </c>
      <c r="J287" s="4">
        <v>7959150</v>
      </c>
      <c r="K287" s="4">
        <f>12600/3</f>
        <v>4200</v>
      </c>
    </row>
    <row r="288" spans="1:11" x14ac:dyDescent="0.2">
      <c r="A288" s="4" t="s">
        <v>17</v>
      </c>
      <c r="B288" s="4">
        <v>4</v>
      </c>
      <c r="C288" s="4">
        <v>26</v>
      </c>
      <c r="D288" s="4">
        <v>398671</v>
      </c>
      <c r="E288" s="4">
        <f>15333/3</f>
        <v>5111</v>
      </c>
      <c r="G288" s="4" t="s">
        <v>17</v>
      </c>
      <c r="H288" s="4">
        <v>184</v>
      </c>
      <c r="I288" s="4">
        <v>1224</v>
      </c>
      <c r="J288" s="4">
        <v>13042150</v>
      </c>
      <c r="K288" s="4">
        <f>10820/3</f>
        <v>3606.6666666666665</v>
      </c>
    </row>
    <row r="289" spans="1:13" x14ac:dyDescent="0.2">
      <c r="A289" s="4" t="s">
        <v>56</v>
      </c>
      <c r="B289" s="4">
        <v>2</v>
      </c>
      <c r="C289" s="4">
        <v>25</v>
      </c>
      <c r="D289" s="4">
        <v>385800</v>
      </c>
      <c r="E289" s="4">
        <f>15229/3</f>
        <v>5076.333333333333</v>
      </c>
      <c r="G289" s="4" t="s">
        <v>56</v>
      </c>
      <c r="H289" s="4">
        <v>156</v>
      </c>
      <c r="I289" s="4">
        <v>2149</v>
      </c>
      <c r="J289" s="4">
        <v>21129315</v>
      </c>
      <c r="K289" s="4">
        <f>9923/3</f>
        <v>3307.6666666666665</v>
      </c>
    </row>
    <row r="290" spans="1:13" x14ac:dyDescent="0.2">
      <c r="A290" s="4" t="s">
        <v>18</v>
      </c>
      <c r="B290" s="4">
        <v>4</v>
      </c>
      <c r="C290" s="4">
        <v>140</v>
      </c>
      <c r="D290" s="4">
        <v>2352430</v>
      </c>
      <c r="E290" s="4">
        <f>16924/3</f>
        <v>5641.333333333333</v>
      </c>
      <c r="G290" s="4" t="s">
        <v>18</v>
      </c>
      <c r="H290" s="4">
        <v>116</v>
      </c>
      <c r="I290" s="4">
        <v>3608</v>
      </c>
      <c r="J290" s="4">
        <v>37738342</v>
      </c>
      <c r="K290" s="4">
        <f>10536/3</f>
        <v>3512</v>
      </c>
    </row>
    <row r="291" spans="1:13" x14ac:dyDescent="0.2">
      <c r="A291" s="4" t="s">
        <v>19</v>
      </c>
      <c r="B291" s="4">
        <v>3</v>
      </c>
      <c r="C291" s="4">
        <v>192</v>
      </c>
      <c r="D291" s="4">
        <v>2975124</v>
      </c>
      <c r="E291" s="4">
        <f>15938/6</f>
        <v>2656.3333333333335</v>
      </c>
      <c r="G291" s="4" t="s">
        <v>19</v>
      </c>
      <c r="H291" s="4">
        <v>58</v>
      </c>
      <c r="I291" s="4">
        <v>3998</v>
      </c>
      <c r="J291" s="4">
        <v>48854983</v>
      </c>
      <c r="K291" s="4">
        <f>12174/3</f>
        <v>4058</v>
      </c>
    </row>
    <row r="292" spans="1:13" x14ac:dyDescent="0.2">
      <c r="A292" s="4" t="s">
        <v>20</v>
      </c>
      <c r="B292" s="4">
        <v>3</v>
      </c>
      <c r="C292" s="4">
        <v>548</v>
      </c>
      <c r="D292" s="4">
        <v>9107880</v>
      </c>
      <c r="E292" s="4">
        <f>16610/3</f>
        <v>5536.666666666667</v>
      </c>
      <c r="G292" s="4" t="s">
        <v>20</v>
      </c>
      <c r="H292" s="4">
        <v>29</v>
      </c>
      <c r="I292" s="4">
        <v>4635</v>
      </c>
      <c r="J292" s="4">
        <v>52299164</v>
      </c>
      <c r="K292" s="4">
        <f>11346/3</f>
        <v>3782</v>
      </c>
    </row>
    <row r="293" spans="1:13" x14ac:dyDescent="0.2">
      <c r="A293" s="4" t="s">
        <v>21</v>
      </c>
      <c r="B293" s="4">
        <v>1</v>
      </c>
      <c r="C293" s="5">
        <v>384</v>
      </c>
      <c r="D293" s="5">
        <v>7410817</v>
      </c>
      <c r="E293" s="4">
        <f>19417/3</f>
        <v>6472.333333333333</v>
      </c>
      <c r="G293" s="4" t="s">
        <v>21</v>
      </c>
      <c r="H293" s="4">
        <v>18</v>
      </c>
      <c r="I293" s="4">
        <v>6789</v>
      </c>
      <c r="J293" s="4">
        <v>81876588</v>
      </c>
      <c r="K293" s="4">
        <f>12218/3</f>
        <v>4072.6666666666665</v>
      </c>
    </row>
    <row r="294" spans="1:13" x14ac:dyDescent="0.2">
      <c r="A294" s="4" t="s">
        <v>23</v>
      </c>
      <c r="B294" s="4">
        <v>2</v>
      </c>
      <c r="C294" s="5">
        <v>1056</v>
      </c>
      <c r="D294" s="5">
        <v>16919965</v>
      </c>
      <c r="E294" s="4">
        <f>16002/3</f>
        <v>5334</v>
      </c>
      <c r="G294" s="4" t="s">
        <v>23</v>
      </c>
      <c r="H294" s="4">
        <v>13</v>
      </c>
      <c r="I294" s="4">
        <v>8420</v>
      </c>
      <c r="J294" s="4">
        <v>84576176</v>
      </c>
      <c r="K294" s="4">
        <f>10150/3</f>
        <v>3383.3333333333335</v>
      </c>
    </row>
    <row r="295" spans="1:13" x14ac:dyDescent="0.2">
      <c r="A295" s="4" t="s">
        <v>24</v>
      </c>
      <c r="B295" s="4">
        <v>1</v>
      </c>
      <c r="C295" s="5">
        <v>13185</v>
      </c>
      <c r="D295" s="5">
        <v>242466209</v>
      </c>
      <c r="E295" s="4">
        <f>18497/3</f>
        <v>6165.666666666667</v>
      </c>
      <c r="G295" s="4" t="s">
        <v>24</v>
      </c>
      <c r="H295" s="4">
        <v>13</v>
      </c>
      <c r="I295" s="4">
        <v>57075</v>
      </c>
      <c r="J295" s="4">
        <v>708642521</v>
      </c>
      <c r="K295" s="4">
        <f>12728/3</f>
        <v>4242.666666666667</v>
      </c>
    </row>
    <row r="297" spans="1:13" x14ac:dyDescent="0.2">
      <c r="A297" s="4" t="s">
        <v>66</v>
      </c>
    </row>
    <row r="301" spans="1:13" x14ac:dyDescent="0.2">
      <c r="A301" s="8"/>
      <c r="B301" s="8"/>
      <c r="C301" s="8"/>
      <c r="D301" s="11"/>
      <c r="E301" s="12"/>
      <c r="F301" s="8"/>
      <c r="G301" s="8"/>
      <c r="H301" s="8"/>
      <c r="I301" s="8"/>
      <c r="J301" s="11"/>
      <c r="K301" s="12"/>
      <c r="L301" s="8"/>
      <c r="M301" s="8"/>
    </row>
    <row r="303" spans="1:13" x14ac:dyDescent="0.2">
      <c r="A303" s="21" t="s">
        <v>65</v>
      </c>
      <c r="B303" s="27"/>
      <c r="C303" s="27"/>
      <c r="D303" s="27"/>
      <c r="E303" s="27"/>
      <c r="F303" s="27"/>
      <c r="G303" s="27"/>
      <c r="H303" s="27"/>
      <c r="I303" s="27"/>
      <c r="J303" s="27"/>
      <c r="K303" s="27"/>
    </row>
    <row r="304" spans="1:13" x14ac:dyDescent="0.2">
      <c r="A304" s="21" t="s">
        <v>63</v>
      </c>
      <c r="B304" s="22"/>
      <c r="C304" s="22"/>
      <c r="D304" s="22"/>
      <c r="E304" s="22"/>
      <c r="F304" s="22"/>
      <c r="G304" s="22"/>
      <c r="H304" s="22"/>
      <c r="I304" s="22"/>
      <c r="J304" s="22"/>
      <c r="K304" s="22"/>
    </row>
    <row r="305" spans="1:1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</row>
    <row r="306" spans="1:11" x14ac:dyDescent="0.2">
      <c r="A306" s="20" t="s">
        <v>49</v>
      </c>
      <c r="B306" s="20"/>
      <c r="C306" s="20"/>
      <c r="D306" s="20"/>
      <c r="E306" s="20"/>
      <c r="F306" s="7"/>
      <c r="G306" s="20" t="s">
        <v>50</v>
      </c>
      <c r="H306" s="20"/>
      <c r="I306" s="20"/>
      <c r="J306" s="20"/>
      <c r="K306" s="20"/>
    </row>
    <row r="307" spans="1:1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</row>
    <row r="308" spans="1:11" x14ac:dyDescent="0.2">
      <c r="A308" s="9"/>
      <c r="B308" s="9"/>
      <c r="C308" s="9"/>
      <c r="D308" s="9" t="s">
        <v>2</v>
      </c>
      <c r="E308" s="9" t="s">
        <v>3</v>
      </c>
      <c r="F308" s="7"/>
      <c r="G308" s="9"/>
      <c r="H308" s="9"/>
      <c r="I308" s="9"/>
      <c r="J308" s="9" t="s">
        <v>2</v>
      </c>
      <c r="K308" s="9" t="s">
        <v>3</v>
      </c>
    </row>
    <row r="309" spans="1:11" x14ac:dyDescent="0.2">
      <c r="A309" s="10" t="s">
        <v>4</v>
      </c>
      <c r="B309" s="9" t="s">
        <v>5</v>
      </c>
      <c r="C309" s="9" t="s">
        <v>6</v>
      </c>
      <c r="D309" s="9" t="s">
        <v>7</v>
      </c>
      <c r="E309" s="9" t="s">
        <v>8</v>
      </c>
      <c r="F309" s="7"/>
      <c r="G309" s="10" t="s">
        <v>4</v>
      </c>
      <c r="H309" s="9" t="s">
        <v>5</v>
      </c>
      <c r="I309" s="9" t="s">
        <v>6</v>
      </c>
      <c r="J309" s="9" t="s">
        <v>7</v>
      </c>
      <c r="K309" s="9" t="s">
        <v>8</v>
      </c>
    </row>
    <row r="310" spans="1:11" x14ac:dyDescent="0.2">
      <c r="A310" s="10" t="s">
        <v>9</v>
      </c>
      <c r="B310" s="9" t="s">
        <v>10</v>
      </c>
      <c r="C310" s="9" t="s">
        <v>11</v>
      </c>
      <c r="D310" s="9" t="s">
        <v>12</v>
      </c>
      <c r="E310" s="9" t="s">
        <v>13</v>
      </c>
      <c r="F310" s="7"/>
      <c r="G310" s="10" t="s">
        <v>9</v>
      </c>
      <c r="H310" s="9" t="s">
        <v>10</v>
      </c>
      <c r="I310" s="9" t="s">
        <v>11</v>
      </c>
      <c r="J310" s="9" t="s">
        <v>12</v>
      </c>
      <c r="K310" s="9" t="s">
        <v>13</v>
      </c>
    </row>
    <row r="313" spans="1:11" s="8" customFormat="1" x14ac:dyDescent="0.2">
      <c r="A313" s="8" t="s">
        <v>27</v>
      </c>
      <c r="B313" s="8">
        <f>SUM(B315:B324)</f>
        <v>49</v>
      </c>
      <c r="C313" s="8">
        <f>SUM(C315:C324)</f>
        <v>54330</v>
      </c>
      <c r="D313" s="11">
        <f>SUM(D315:D324)</f>
        <v>602568666</v>
      </c>
      <c r="E313" s="12">
        <f>11387/3</f>
        <v>3795.6666666666665</v>
      </c>
      <c r="G313" s="8" t="s">
        <v>27</v>
      </c>
      <c r="H313" s="8">
        <f>SUM(H315:H325)</f>
        <v>2749</v>
      </c>
      <c r="I313" s="8">
        <f>SUM(I315:I325)</f>
        <v>133242</v>
      </c>
      <c r="J313" s="11">
        <f>SUM(J315:J324)</f>
        <v>1331528765</v>
      </c>
      <c r="K313" s="12">
        <f>9953/3</f>
        <v>3317.6666666666665</v>
      </c>
    </row>
    <row r="314" spans="1:11" x14ac:dyDescent="0.2">
      <c r="A314" s="4" t="s">
        <v>28</v>
      </c>
      <c r="G314" s="4" t="s">
        <v>28</v>
      </c>
    </row>
    <row r="315" spans="1:11" x14ac:dyDescent="0.2">
      <c r="A315" s="4">
        <v>0</v>
      </c>
      <c r="B315" s="4">
        <v>4</v>
      </c>
      <c r="C315" s="4">
        <v>0</v>
      </c>
      <c r="D315" s="4">
        <v>0</v>
      </c>
      <c r="E315" s="4">
        <v>0</v>
      </c>
      <c r="G315" s="4" t="s">
        <v>15</v>
      </c>
      <c r="H315" s="4">
        <v>48</v>
      </c>
      <c r="I315" s="4">
        <v>0</v>
      </c>
      <c r="J315" s="4">
        <v>32868</v>
      </c>
      <c r="K315" s="4">
        <f>6574/3</f>
        <v>2191.3333333333335</v>
      </c>
    </row>
    <row r="316" spans="1:11" x14ac:dyDescent="0.2">
      <c r="A316" s="4" t="s">
        <v>16</v>
      </c>
      <c r="B316" s="4">
        <v>4</v>
      </c>
      <c r="C316" s="4">
        <v>4</v>
      </c>
      <c r="D316" s="4">
        <v>82469</v>
      </c>
      <c r="E316" s="4">
        <f>19031/3</f>
        <v>6343.666666666667</v>
      </c>
      <c r="G316" s="4" t="s">
        <v>16</v>
      </c>
      <c r="H316" s="4">
        <v>404</v>
      </c>
      <c r="I316" s="4">
        <v>981</v>
      </c>
      <c r="J316" s="4">
        <v>8899228</v>
      </c>
      <c r="K316" s="4">
        <f>8959/3</f>
        <v>2986.3333333333335</v>
      </c>
    </row>
    <row r="317" spans="1:11" x14ac:dyDescent="0.2">
      <c r="A317" s="4" t="s">
        <v>17</v>
      </c>
      <c r="B317" s="4">
        <v>0</v>
      </c>
      <c r="C317" s="4">
        <v>0</v>
      </c>
      <c r="D317" s="4">
        <v>0</v>
      </c>
      <c r="E317" s="4">
        <v>0</v>
      </c>
      <c r="G317" s="4" t="s">
        <v>17</v>
      </c>
      <c r="H317" s="4">
        <v>476</v>
      </c>
      <c r="I317" s="4">
        <v>3168</v>
      </c>
      <c r="J317" s="4">
        <v>26497835</v>
      </c>
      <c r="K317" s="4">
        <f>8371/3</f>
        <v>2790.3333333333335</v>
      </c>
    </row>
    <row r="318" spans="1:11" x14ac:dyDescent="0.2">
      <c r="A318" s="4" t="s">
        <v>56</v>
      </c>
      <c r="B318" s="4">
        <v>4</v>
      </c>
      <c r="C318" s="4">
        <v>47</v>
      </c>
      <c r="D318" s="4">
        <v>460551</v>
      </c>
      <c r="E318" s="4">
        <f>10085/3</f>
        <v>3361.6666666666665</v>
      </c>
      <c r="G318" s="4" t="s">
        <v>56</v>
      </c>
      <c r="H318" s="4">
        <v>362</v>
      </c>
      <c r="I318" s="4">
        <v>5037</v>
      </c>
      <c r="J318" s="4">
        <v>52656163</v>
      </c>
      <c r="K318" s="4">
        <f>10379/3</f>
        <v>3459.6666666666665</v>
      </c>
    </row>
    <row r="319" spans="1:11" x14ac:dyDescent="0.2">
      <c r="A319" s="4" t="s">
        <v>18</v>
      </c>
      <c r="B319" s="4">
        <v>3</v>
      </c>
      <c r="C319" s="4">
        <v>108</v>
      </c>
      <c r="D319" s="4">
        <v>795651</v>
      </c>
      <c r="E319" s="4">
        <f>7390/3</f>
        <v>2463.3333333333335</v>
      </c>
      <c r="G319" s="4" t="s">
        <v>18</v>
      </c>
      <c r="H319" s="4">
        <v>509</v>
      </c>
      <c r="I319" s="4">
        <v>17026</v>
      </c>
      <c r="J319" s="4">
        <v>175784006</v>
      </c>
      <c r="K319" s="4">
        <f>10331/3</f>
        <v>3443.6666666666665</v>
      </c>
    </row>
    <row r="320" spans="1:11" x14ac:dyDescent="0.2">
      <c r="A320" s="4" t="s">
        <v>19</v>
      </c>
      <c r="B320" s="4">
        <v>6</v>
      </c>
      <c r="C320" s="4">
        <v>422</v>
      </c>
      <c r="D320" s="4">
        <v>2782272</v>
      </c>
      <c r="E320" s="4">
        <f>7002/3</f>
        <v>2334</v>
      </c>
      <c r="G320" s="4" t="s">
        <v>19</v>
      </c>
      <c r="H320" s="4">
        <v>654</v>
      </c>
      <c r="I320" s="4">
        <v>45652</v>
      </c>
      <c r="J320" s="4">
        <v>442179917</v>
      </c>
      <c r="K320" s="4">
        <f>9632/3</f>
        <v>3210.6666666666665</v>
      </c>
    </row>
    <row r="321" spans="1:11" x14ac:dyDescent="0.2">
      <c r="A321" s="4" t="s">
        <v>20</v>
      </c>
      <c r="B321" s="4">
        <v>6</v>
      </c>
      <c r="C321" s="4">
        <v>930</v>
      </c>
      <c r="D321" s="4">
        <v>5678982</v>
      </c>
      <c r="E321" s="4">
        <f>6263/3</f>
        <v>2087.6666666666665</v>
      </c>
      <c r="G321" s="4" t="s">
        <v>20</v>
      </c>
      <c r="H321" s="4">
        <v>243</v>
      </c>
      <c r="I321" s="4">
        <v>34883</v>
      </c>
      <c r="J321" s="4">
        <v>361093469</v>
      </c>
      <c r="K321" s="4">
        <f>10297/3</f>
        <v>3432.3333333333335</v>
      </c>
    </row>
    <row r="322" spans="1:11" x14ac:dyDescent="0.2">
      <c r="A322" s="4" t="s">
        <v>21</v>
      </c>
      <c r="B322" s="4">
        <v>6</v>
      </c>
      <c r="C322" s="5">
        <v>1937</v>
      </c>
      <c r="D322" s="5">
        <v>15282299</v>
      </c>
      <c r="E322" s="4">
        <f>8039/3</f>
        <v>2679.6666666666665</v>
      </c>
      <c r="G322" s="4" t="s">
        <v>21</v>
      </c>
      <c r="H322" s="4">
        <v>43</v>
      </c>
      <c r="I322" s="4">
        <v>13989</v>
      </c>
      <c r="J322" s="4">
        <v>140619121</v>
      </c>
      <c r="K322" s="4">
        <f>10019/3</f>
        <v>3339.6666666666665</v>
      </c>
    </row>
    <row r="323" spans="1:11" x14ac:dyDescent="0.2">
      <c r="A323" s="4" t="s">
        <v>23</v>
      </c>
      <c r="B323" s="4">
        <v>4</v>
      </c>
      <c r="C323" s="5">
        <v>2433</v>
      </c>
      <c r="D323" s="5">
        <v>10725474</v>
      </c>
      <c r="E323" s="4">
        <f>4510/3</f>
        <v>1503.3333333333333</v>
      </c>
      <c r="G323" s="4" t="s">
        <v>23</v>
      </c>
      <c r="H323" s="4">
        <v>9</v>
      </c>
      <c r="I323" s="4">
        <v>6659</v>
      </c>
      <c r="J323" s="4">
        <v>62469567</v>
      </c>
      <c r="K323" s="4">
        <f>9519/3</f>
        <v>3173</v>
      </c>
    </row>
    <row r="324" spans="1:11" x14ac:dyDescent="0.2">
      <c r="A324" s="4" t="s">
        <v>24</v>
      </c>
      <c r="B324" s="4">
        <v>12</v>
      </c>
      <c r="C324" s="5">
        <v>48449</v>
      </c>
      <c r="D324" s="5">
        <v>566760968</v>
      </c>
      <c r="E324" s="4">
        <f>12014/3</f>
        <v>4004.6666666666665</v>
      </c>
      <c r="G324" s="4" t="s">
        <v>24</v>
      </c>
      <c r="H324" s="4">
        <v>1</v>
      </c>
      <c r="I324" s="4">
        <v>5847</v>
      </c>
      <c r="J324" s="4">
        <v>61296591</v>
      </c>
      <c r="K324" s="4">
        <f>10293/3</f>
        <v>3431</v>
      </c>
    </row>
    <row r="325" spans="1:11" x14ac:dyDescent="0.2">
      <c r="E325" s="4" t="s">
        <v>28</v>
      </c>
    </row>
    <row r="328" spans="1:11" x14ac:dyDescent="0.2">
      <c r="A328" s="20" t="s">
        <v>51</v>
      </c>
      <c r="B328" s="20"/>
      <c r="C328" s="20"/>
      <c r="D328" s="20"/>
      <c r="E328" s="20"/>
      <c r="F328" s="7"/>
      <c r="G328" s="20" t="s">
        <v>52</v>
      </c>
      <c r="H328" s="20"/>
      <c r="I328" s="20"/>
      <c r="J328" s="20"/>
      <c r="K328" s="20"/>
    </row>
    <row r="329" spans="1:1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</row>
    <row r="330" spans="1:11" x14ac:dyDescent="0.2">
      <c r="A330" s="9"/>
      <c r="B330" s="9"/>
      <c r="C330" s="9"/>
      <c r="D330" s="9" t="s">
        <v>2</v>
      </c>
      <c r="E330" s="9" t="s">
        <v>3</v>
      </c>
      <c r="F330" s="7"/>
      <c r="G330" s="9"/>
      <c r="H330" s="9"/>
      <c r="I330" s="9"/>
      <c r="J330" s="9" t="s">
        <v>2</v>
      </c>
      <c r="K330" s="9" t="s">
        <v>3</v>
      </c>
    </row>
    <row r="331" spans="1:11" x14ac:dyDescent="0.2">
      <c r="A331" s="10" t="s">
        <v>4</v>
      </c>
      <c r="B331" s="9" t="s">
        <v>5</v>
      </c>
      <c r="C331" s="9" t="s">
        <v>6</v>
      </c>
      <c r="D331" s="9" t="s">
        <v>7</v>
      </c>
      <c r="E331" s="9" t="s">
        <v>8</v>
      </c>
      <c r="F331" s="7"/>
      <c r="G331" s="10" t="s">
        <v>4</v>
      </c>
      <c r="H331" s="9" t="s">
        <v>5</v>
      </c>
      <c r="I331" s="9" t="s">
        <v>6</v>
      </c>
      <c r="J331" s="9" t="s">
        <v>7</v>
      </c>
      <c r="K331" s="9" t="s">
        <v>8</v>
      </c>
    </row>
    <row r="332" spans="1:11" x14ac:dyDescent="0.2">
      <c r="A332" s="10" t="s">
        <v>9</v>
      </c>
      <c r="B332" s="9" t="s">
        <v>10</v>
      </c>
      <c r="C332" s="9" t="s">
        <v>11</v>
      </c>
      <c r="D332" s="9" t="s">
        <v>12</v>
      </c>
      <c r="E332" s="9" t="s">
        <v>13</v>
      </c>
      <c r="F332" s="7"/>
      <c r="G332" s="10" t="s">
        <v>9</v>
      </c>
      <c r="H332" s="9" t="s">
        <v>10</v>
      </c>
      <c r="I332" s="9" t="s">
        <v>11</v>
      </c>
      <c r="J332" s="9" t="s">
        <v>12</v>
      </c>
      <c r="K332" s="9" t="s">
        <v>13</v>
      </c>
    </row>
    <row r="335" spans="1:11" s="8" customFormat="1" x14ac:dyDescent="0.2">
      <c r="A335" s="8" t="s">
        <v>27</v>
      </c>
      <c r="B335" s="8">
        <f>SUM(B337:B346)</f>
        <v>1049</v>
      </c>
      <c r="C335" s="8">
        <f>SUM(C337:C346)</f>
        <v>75703</v>
      </c>
      <c r="D335" s="11">
        <f>SUM(D337:D346)</f>
        <v>719116282</v>
      </c>
      <c r="E335" s="12">
        <f>9474/3</f>
        <v>3158</v>
      </c>
      <c r="G335" s="8" t="s">
        <v>27</v>
      </c>
      <c r="H335" s="8">
        <f>SUM(H337:H346)</f>
        <v>103879</v>
      </c>
      <c r="I335" s="8">
        <f>SUM(I337:I346)</f>
        <v>1309044</v>
      </c>
      <c r="J335" s="11">
        <f>SUM(J337:J346)</f>
        <v>17454527502</v>
      </c>
      <c r="K335" s="12">
        <f>13342/3</f>
        <v>4447.333333333333</v>
      </c>
    </row>
    <row r="336" spans="1:11" x14ac:dyDescent="0.2">
      <c r="A336" s="4" t="s">
        <v>28</v>
      </c>
      <c r="G336" s="4" t="s">
        <v>28</v>
      </c>
    </row>
    <row r="337" spans="1:15" x14ac:dyDescent="0.2">
      <c r="A337" s="4">
        <v>0</v>
      </c>
      <c r="B337" s="4">
        <v>9</v>
      </c>
      <c r="C337" s="4">
        <v>0</v>
      </c>
      <c r="D337" s="4">
        <v>30648</v>
      </c>
      <c r="E337" s="4">
        <f>6567/3</f>
        <v>2189</v>
      </c>
      <c r="G337" s="4" t="s">
        <v>15</v>
      </c>
      <c r="H337" s="4">
        <v>15427</v>
      </c>
      <c r="I337" s="4">
        <v>0</v>
      </c>
      <c r="J337" s="4">
        <v>92223838</v>
      </c>
      <c r="K337" s="4">
        <f>14159/3</f>
        <v>4719.666666666667</v>
      </c>
    </row>
    <row r="338" spans="1:15" x14ac:dyDescent="0.2">
      <c r="A338" s="4" t="s">
        <v>16</v>
      </c>
      <c r="B338" s="4">
        <v>36</v>
      </c>
      <c r="C338" s="4">
        <v>75</v>
      </c>
      <c r="D338" s="4">
        <v>773910</v>
      </c>
      <c r="E338" s="4">
        <f>10749/3</f>
        <v>3583</v>
      </c>
      <c r="G338" s="4" t="s">
        <v>16</v>
      </c>
      <c r="H338" s="4">
        <v>49786</v>
      </c>
      <c r="I338" s="4">
        <v>89375</v>
      </c>
      <c r="J338" s="4">
        <v>1270447653</v>
      </c>
      <c r="K338" s="4">
        <f>14322/3</f>
        <v>4774</v>
      </c>
    </row>
    <row r="339" spans="1:15" x14ac:dyDescent="0.2">
      <c r="A339" s="4" t="s">
        <v>17</v>
      </c>
      <c r="B339" s="4">
        <v>51</v>
      </c>
      <c r="C339" s="4">
        <v>320</v>
      </c>
      <c r="D339" s="4">
        <v>2189916</v>
      </c>
      <c r="E339" s="4">
        <f>6815/3</f>
        <v>2271.6666666666665</v>
      </c>
      <c r="G339" s="4" t="s">
        <v>17</v>
      </c>
      <c r="H339" s="4">
        <v>14789</v>
      </c>
      <c r="I339" s="4">
        <v>98693</v>
      </c>
      <c r="J339" s="4">
        <v>1104112650</v>
      </c>
      <c r="K339" s="4">
        <f>11277/3</f>
        <v>3759</v>
      </c>
    </row>
    <row r="340" spans="1:15" x14ac:dyDescent="0.2">
      <c r="A340" s="4" t="s">
        <v>56</v>
      </c>
      <c r="B340" s="4">
        <v>56</v>
      </c>
      <c r="C340" s="4">
        <v>845</v>
      </c>
      <c r="D340" s="4">
        <v>8035297</v>
      </c>
      <c r="E340" s="4">
        <f>9416/3</f>
        <v>3138.6666666666665</v>
      </c>
      <c r="G340" s="4" t="s">
        <v>56</v>
      </c>
      <c r="H340" s="4">
        <v>11450</v>
      </c>
      <c r="I340" s="4">
        <v>156030</v>
      </c>
      <c r="J340" s="4">
        <v>1628615651</v>
      </c>
      <c r="K340" s="4">
        <f>10543/3</f>
        <v>3514.3333333333335</v>
      </c>
    </row>
    <row r="341" spans="1:15" x14ac:dyDescent="0.2">
      <c r="A341" s="4" t="s">
        <v>18</v>
      </c>
      <c r="B341" s="4">
        <v>197</v>
      </c>
      <c r="C341" s="4">
        <v>7362</v>
      </c>
      <c r="D341" s="4">
        <v>71557565</v>
      </c>
      <c r="E341" s="4">
        <f>9702/3</f>
        <v>3234</v>
      </c>
      <c r="G341" s="4" t="s">
        <v>18</v>
      </c>
      <c r="H341" s="4">
        <v>8016</v>
      </c>
      <c r="I341" s="4">
        <v>240921</v>
      </c>
      <c r="J341" s="4">
        <v>2631579438</v>
      </c>
      <c r="K341" s="4">
        <f>11001/3</f>
        <v>3667</v>
      </c>
    </row>
    <row r="342" spans="1:15" x14ac:dyDescent="0.2">
      <c r="A342" s="4" t="s">
        <v>19</v>
      </c>
      <c r="B342" s="4">
        <v>514</v>
      </c>
      <c r="C342" s="4">
        <v>35971</v>
      </c>
      <c r="D342" s="4">
        <v>337070861</v>
      </c>
      <c r="E342" s="4">
        <f>9329/3</f>
        <v>3109.6666666666665</v>
      </c>
      <c r="G342" s="4" t="s">
        <v>19</v>
      </c>
      <c r="H342" s="4">
        <v>2473</v>
      </c>
      <c r="I342" s="4">
        <v>170044</v>
      </c>
      <c r="J342" s="4">
        <v>2096965891</v>
      </c>
      <c r="K342" s="4">
        <f>12400/3</f>
        <v>4133.333333333333</v>
      </c>
    </row>
    <row r="343" spans="1:15" x14ac:dyDescent="0.2">
      <c r="A343" s="4" t="s">
        <v>20</v>
      </c>
      <c r="B343" s="4">
        <v>164</v>
      </c>
      <c r="C343" s="4">
        <v>22338</v>
      </c>
      <c r="D343" s="4">
        <v>225810309</v>
      </c>
      <c r="E343" s="4">
        <f>10051/3</f>
        <v>3350.3333333333335</v>
      </c>
      <c r="G343" s="4" t="s">
        <v>20</v>
      </c>
      <c r="H343" s="4">
        <v>1390</v>
      </c>
      <c r="I343" s="4">
        <v>204892</v>
      </c>
      <c r="J343" s="4">
        <v>2801970521</v>
      </c>
      <c r="K343" s="4">
        <f>13758/3</f>
        <v>4586</v>
      </c>
    </row>
    <row r="344" spans="1:15" x14ac:dyDescent="0.2">
      <c r="A344" s="4" t="s">
        <v>21</v>
      </c>
      <c r="B344" s="4">
        <v>18</v>
      </c>
      <c r="C344" s="5">
        <v>5538</v>
      </c>
      <c r="D344" s="5">
        <v>53509605</v>
      </c>
      <c r="E344" s="4">
        <f>9707/3</f>
        <v>3235.6666666666665</v>
      </c>
      <c r="G344" s="4" t="s">
        <v>21</v>
      </c>
      <c r="H344" s="4">
        <v>348</v>
      </c>
      <c r="I344" s="4">
        <v>119547</v>
      </c>
      <c r="J344" s="4">
        <v>1902484222</v>
      </c>
      <c r="K344" s="4">
        <f>15926/3</f>
        <v>5308.666666666667</v>
      </c>
    </row>
    <row r="345" spans="1:15" x14ac:dyDescent="0.2">
      <c r="A345" s="4" t="s">
        <v>23</v>
      </c>
      <c r="B345" s="4">
        <v>4</v>
      </c>
      <c r="C345" s="5">
        <v>3254</v>
      </c>
      <c r="D345" s="5">
        <v>20138171</v>
      </c>
      <c r="E345" s="4">
        <f>6367/3</f>
        <v>2122.3333333333335</v>
      </c>
      <c r="G345" s="4" t="s">
        <v>23</v>
      </c>
      <c r="H345" s="4">
        <v>134</v>
      </c>
      <c r="I345" s="4">
        <v>90326</v>
      </c>
      <c r="J345" s="4">
        <v>1519030067</v>
      </c>
      <c r="K345" s="4">
        <f>16873/3</f>
        <v>5624.333333333333</v>
      </c>
    </row>
    <row r="346" spans="1:15" x14ac:dyDescent="0.2">
      <c r="C346" s="5"/>
      <c r="D346" s="5"/>
      <c r="G346" s="4" t="s">
        <v>24</v>
      </c>
      <c r="H346" s="4">
        <v>66</v>
      </c>
      <c r="I346" s="4">
        <v>139216</v>
      </c>
      <c r="J346" s="4">
        <v>2407097571</v>
      </c>
      <c r="K346" s="4">
        <f>17296/3</f>
        <v>5765.333333333333</v>
      </c>
    </row>
    <row r="349" spans="1:15" x14ac:dyDescent="0.2">
      <c r="A349" s="4" t="s">
        <v>66</v>
      </c>
    </row>
    <row r="352" spans="1:15" x14ac:dyDescent="0.2">
      <c r="A352" s="8"/>
      <c r="B352" s="8"/>
      <c r="C352" s="8"/>
      <c r="D352" s="11"/>
      <c r="E352" s="12"/>
      <c r="F352" s="8"/>
      <c r="G352" s="8"/>
      <c r="H352" s="8"/>
      <c r="I352" s="8"/>
      <c r="J352" s="11"/>
      <c r="K352" s="12"/>
      <c r="L352" s="8"/>
      <c r="M352" s="8"/>
      <c r="N352" s="8"/>
      <c r="O352" s="8"/>
    </row>
    <row r="385" spans="11:11" x14ac:dyDescent="0.2">
      <c r="K385" s="18"/>
    </row>
    <row r="461" spans="5:5" x14ac:dyDescent="0.2">
      <c r="E461" s="18"/>
    </row>
    <row r="482" spans="5:5" x14ac:dyDescent="0.2">
      <c r="E482" s="18"/>
    </row>
    <row r="581" spans="11:11" x14ac:dyDescent="0.2">
      <c r="K581" s="19"/>
    </row>
    <row r="657" spans="11:11" x14ac:dyDescent="0.2">
      <c r="K657" s="18"/>
    </row>
    <row r="709" spans="5:5" x14ac:dyDescent="0.2">
      <c r="E709" s="18"/>
    </row>
    <row r="731" spans="5:11" x14ac:dyDescent="0.2">
      <c r="E731" s="18"/>
      <c r="K731" s="18"/>
    </row>
    <row r="760" spans="5:5" x14ac:dyDescent="0.2">
      <c r="E760" s="18"/>
    </row>
    <row r="782" spans="5:11" x14ac:dyDescent="0.2">
      <c r="E782" s="18"/>
      <c r="K782" s="18"/>
    </row>
  </sheetData>
  <mergeCells count="44">
    <mergeCell ref="A206:E206"/>
    <mergeCell ref="G206:K206"/>
    <mergeCell ref="A306:E306"/>
    <mergeCell ref="A154:K154"/>
    <mergeCell ref="A203:K203"/>
    <mergeCell ref="G178:K178"/>
    <mergeCell ref="A29:E29"/>
    <mergeCell ref="G29:K29"/>
    <mergeCell ref="A59:E59"/>
    <mergeCell ref="G59:K59"/>
    <mergeCell ref="A56:K56"/>
    <mergeCell ref="A107:E107"/>
    <mergeCell ref="A157:E157"/>
    <mergeCell ref="G157:K157"/>
    <mergeCell ref="A7:E7"/>
    <mergeCell ref="A328:E328"/>
    <mergeCell ref="G328:K328"/>
    <mergeCell ref="A227:E227"/>
    <mergeCell ref="G227:K227"/>
    <mergeCell ref="A255:E255"/>
    <mergeCell ref="G255:K255"/>
    <mergeCell ref="A277:E277"/>
    <mergeCell ref="G277:K277"/>
    <mergeCell ref="A252:K252"/>
    <mergeCell ref="A303:K303"/>
    <mergeCell ref="A253:K253"/>
    <mergeCell ref="A204:K204"/>
    <mergeCell ref="A104:K104"/>
    <mergeCell ref="G7:K7"/>
    <mergeCell ref="A304:K304"/>
    <mergeCell ref="G306:K306"/>
    <mergeCell ref="A4:K4"/>
    <mergeCell ref="A5:K5"/>
    <mergeCell ref="A178:E178"/>
    <mergeCell ref="A57:K57"/>
    <mergeCell ref="A105:K105"/>
    <mergeCell ref="A106:K106"/>
    <mergeCell ref="A155:K155"/>
    <mergeCell ref="A156:K156"/>
    <mergeCell ref="A80:E80"/>
    <mergeCell ref="G80:K80"/>
    <mergeCell ref="G107:K107"/>
    <mergeCell ref="A128:E128"/>
    <mergeCell ref="G128:K128"/>
  </mergeCells>
  <phoneticPr fontId="0" type="noConversion"/>
  <pageMargins left="0.75" right="0.75" top="0.55000000000000004" bottom="0.49" header="0.5" footer="0.5"/>
  <pageSetup scale="80" fitToWidth="7" orientation="landscape" r:id="rId1"/>
  <headerFooter alignWithMargins="0"/>
  <rowBreaks count="6" manualBreakCount="6">
    <brk id="52" max="16383" man="1"/>
    <brk id="100" max="16383" man="1"/>
    <brk id="149" max="16383" man="1"/>
    <brk id="198" max="16383" man="1"/>
    <brk id="247" max="16383" man="1"/>
    <brk id="2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TABLE5</vt:lpstr>
      <vt:lpstr>Chart1</vt:lpstr>
      <vt:lpstr>TABLE5!Print_Area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Schroeder</dc:creator>
  <cp:lastModifiedBy>Alyssia Minaya</cp:lastModifiedBy>
  <cp:lastPrinted>2018-12-21T18:42:59Z</cp:lastPrinted>
  <dcterms:created xsi:type="dcterms:W3CDTF">2002-12-20T22:52:14Z</dcterms:created>
  <dcterms:modified xsi:type="dcterms:W3CDTF">2021-11-30T20:12:51Z</dcterms:modified>
</cp:coreProperties>
</file>