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9\Excel\"/>
    </mc:Choice>
  </mc:AlternateContent>
  <xr:revisionPtr revIDLastSave="0" documentId="13_ncr:1_{1F5A9EF8-5335-437B-847E-34D43ED51B3F}" xr6:coauthVersionLast="36" xr6:coauthVersionMax="36" xr10:uidLastSave="{00000000-0000-0000-0000-000000000000}"/>
  <bookViews>
    <workbookView xWindow="0" yWindow="0" windowWidth="21600" windowHeight="9525" activeTab="2" xr2:uid="{00000000-000D-0000-FFFF-FFFF00000000}"/>
  </bookViews>
  <sheets>
    <sheet name="Chart1" sheetId="2" r:id="rId1"/>
    <sheet name="Sheet1" sheetId="3" r:id="rId2"/>
    <sheet name="TABLE5" sheetId="1" r:id="rId3"/>
  </sheets>
  <definedNames>
    <definedName name="_xlnm.Print_Area" localSheetId="2">TABLE5!$A$1:$K$352</definedName>
    <definedName name="_xlnm.Print_Area">TABLE5!$P$652:$V$702</definedName>
  </definedNames>
  <calcPr calcId="191029"/>
</workbook>
</file>

<file path=xl/calcChain.xml><?xml version="1.0" encoding="utf-8"?>
<calcChain xmlns="http://schemas.openxmlformats.org/spreadsheetml/2006/main">
  <c r="I244" i="1" l="1"/>
  <c r="J234" i="1" l="1"/>
  <c r="K346" i="1" l="1"/>
  <c r="K345" i="1"/>
  <c r="K344" i="1"/>
  <c r="K343" i="1"/>
  <c r="K342" i="1"/>
  <c r="K341" i="1"/>
  <c r="K340" i="1"/>
  <c r="K339" i="1"/>
  <c r="K338" i="1"/>
  <c r="K337" i="1"/>
  <c r="K335" i="1"/>
  <c r="E273" i="1"/>
  <c r="E272" i="1"/>
  <c r="E271" i="1"/>
  <c r="E270" i="1"/>
  <c r="E269" i="1"/>
  <c r="E268" i="1"/>
  <c r="E267" i="1"/>
  <c r="E266" i="1"/>
  <c r="E265" i="1"/>
  <c r="E264" i="1"/>
  <c r="E262" i="1"/>
  <c r="D264" i="1"/>
  <c r="D265" i="1"/>
  <c r="D266" i="1"/>
  <c r="D267" i="1"/>
  <c r="D268" i="1"/>
  <c r="D269" i="1"/>
  <c r="D270" i="1"/>
  <c r="D271" i="1"/>
  <c r="D272" i="1"/>
  <c r="D273" i="1"/>
  <c r="C264" i="1"/>
  <c r="C265" i="1"/>
  <c r="C266" i="1"/>
  <c r="C267" i="1"/>
  <c r="C268" i="1"/>
  <c r="C269" i="1"/>
  <c r="C270" i="1"/>
  <c r="C271" i="1"/>
  <c r="C272" i="1"/>
  <c r="C273" i="1"/>
  <c r="B265" i="1"/>
  <c r="B266" i="1"/>
  <c r="B267" i="1"/>
  <c r="B268" i="1"/>
  <c r="B269" i="1"/>
  <c r="B270" i="1"/>
  <c r="B271" i="1"/>
  <c r="B272" i="1"/>
  <c r="B273" i="1"/>
  <c r="B264" i="1"/>
  <c r="K273" i="1"/>
  <c r="K272" i="1"/>
  <c r="K271" i="1"/>
  <c r="K270" i="1"/>
  <c r="K269" i="1"/>
  <c r="K268" i="1"/>
  <c r="K267" i="1"/>
  <c r="K266" i="1"/>
  <c r="K265" i="1"/>
  <c r="K264" i="1"/>
  <c r="K262" i="1"/>
  <c r="K295" i="1"/>
  <c r="K294" i="1"/>
  <c r="K293" i="1"/>
  <c r="K292" i="1"/>
  <c r="K291" i="1"/>
  <c r="K290" i="1"/>
  <c r="K289" i="1"/>
  <c r="K288" i="1"/>
  <c r="K287" i="1"/>
  <c r="K286" i="1"/>
  <c r="K284" i="1"/>
  <c r="K324" i="1"/>
  <c r="K323" i="1"/>
  <c r="K322" i="1"/>
  <c r="K321" i="1"/>
  <c r="K320" i="1"/>
  <c r="K319" i="1"/>
  <c r="K318" i="1"/>
  <c r="K317" i="1"/>
  <c r="K316" i="1"/>
  <c r="K315" i="1"/>
  <c r="K313" i="1"/>
  <c r="E335" i="1"/>
  <c r="E345" i="1"/>
  <c r="E344" i="1"/>
  <c r="E343" i="1"/>
  <c r="E342" i="1"/>
  <c r="E341" i="1"/>
  <c r="E340" i="1"/>
  <c r="E339" i="1"/>
  <c r="E338" i="1"/>
  <c r="E337" i="1"/>
  <c r="E324" i="1"/>
  <c r="E323" i="1"/>
  <c r="E322" i="1"/>
  <c r="E321" i="1"/>
  <c r="E320" i="1"/>
  <c r="E319" i="1"/>
  <c r="E318" i="1"/>
  <c r="E317" i="1"/>
  <c r="E316" i="1"/>
  <c r="E315" i="1"/>
  <c r="E313" i="1"/>
  <c r="E295" i="1"/>
  <c r="E294" i="1"/>
  <c r="E293" i="1"/>
  <c r="E292" i="1"/>
  <c r="E291" i="1"/>
  <c r="E290" i="1"/>
  <c r="E289" i="1"/>
  <c r="E288" i="1"/>
  <c r="E287" i="1"/>
  <c r="E284" i="1"/>
  <c r="D284" i="1"/>
  <c r="E243" i="1"/>
  <c r="E242" i="1"/>
  <c r="E241" i="1"/>
  <c r="E240" i="1"/>
  <c r="E239" i="1"/>
  <c r="E238" i="1"/>
  <c r="E237" i="1"/>
  <c r="E236" i="1"/>
  <c r="E234" i="1"/>
  <c r="D244" i="1"/>
  <c r="C244" i="1"/>
  <c r="B244" i="1"/>
  <c r="K222" i="1"/>
  <c r="K221" i="1"/>
  <c r="K220" i="1"/>
  <c r="K219" i="1"/>
  <c r="K218" i="1"/>
  <c r="K217" i="1"/>
  <c r="K216" i="1"/>
  <c r="K215" i="1"/>
  <c r="K213" i="1"/>
  <c r="J223" i="1"/>
  <c r="I223" i="1"/>
  <c r="I213" i="1" s="1"/>
  <c r="H223" i="1"/>
  <c r="E224" i="1"/>
  <c r="E223" i="1"/>
  <c r="E222" i="1"/>
  <c r="E221" i="1"/>
  <c r="E220" i="1"/>
  <c r="E219" i="1"/>
  <c r="E218" i="1"/>
  <c r="E217" i="1"/>
  <c r="E216" i="1"/>
  <c r="E215" i="1"/>
  <c r="E213" i="1"/>
  <c r="K196" i="1"/>
  <c r="K195" i="1"/>
  <c r="K194" i="1"/>
  <c r="K193" i="1"/>
  <c r="K192" i="1"/>
  <c r="K191" i="1"/>
  <c r="K190" i="1"/>
  <c r="K189" i="1"/>
  <c r="K188" i="1"/>
  <c r="K187" i="1"/>
  <c r="K185" i="1"/>
  <c r="E196" i="1"/>
  <c r="E195" i="1"/>
  <c r="E194" i="1"/>
  <c r="E193" i="1"/>
  <c r="E192" i="1"/>
  <c r="E191" i="1"/>
  <c r="E190" i="1"/>
  <c r="E189" i="1"/>
  <c r="E188" i="1"/>
  <c r="E187" i="1"/>
  <c r="E185" i="1"/>
  <c r="K173" i="1"/>
  <c r="K172" i="1"/>
  <c r="K171" i="1"/>
  <c r="K170" i="1"/>
  <c r="K169" i="1"/>
  <c r="K168" i="1"/>
  <c r="K167" i="1"/>
  <c r="K166" i="1"/>
  <c r="K164" i="1"/>
  <c r="J174" i="1"/>
  <c r="I174" i="1"/>
  <c r="H174" i="1"/>
  <c r="E175" i="1"/>
  <c r="E174" i="1"/>
  <c r="E173" i="1"/>
  <c r="E172" i="1"/>
  <c r="E171" i="1"/>
  <c r="E170" i="1"/>
  <c r="E169" i="1"/>
  <c r="E168" i="1"/>
  <c r="E167" i="1"/>
  <c r="E166" i="1"/>
  <c r="E164" i="1"/>
  <c r="K142" i="1"/>
  <c r="K141" i="1"/>
  <c r="K140" i="1"/>
  <c r="K139" i="1"/>
  <c r="K138" i="1"/>
  <c r="K137" i="1"/>
  <c r="K135" i="1"/>
  <c r="J143" i="1"/>
  <c r="I143" i="1"/>
  <c r="H143" i="1"/>
  <c r="E146" i="1"/>
  <c r="E145" i="1"/>
  <c r="E144" i="1"/>
  <c r="E143" i="1"/>
  <c r="E142" i="1"/>
  <c r="E141" i="1"/>
  <c r="E140" i="1"/>
  <c r="E139" i="1"/>
  <c r="E138" i="1"/>
  <c r="E137" i="1"/>
  <c r="E135" i="1"/>
  <c r="K125" i="1"/>
  <c r="K124" i="1"/>
  <c r="K123" i="1"/>
  <c r="K122" i="1"/>
  <c r="K121" i="1"/>
  <c r="K120" i="1"/>
  <c r="K119" i="1"/>
  <c r="K118" i="1"/>
  <c r="K117" i="1"/>
  <c r="K114" i="1"/>
  <c r="K116" i="1"/>
  <c r="E125" i="1"/>
  <c r="E124" i="1"/>
  <c r="E123" i="1"/>
  <c r="E122" i="1"/>
  <c r="E121" i="1"/>
  <c r="E120" i="1"/>
  <c r="E119" i="1"/>
  <c r="E118" i="1"/>
  <c r="E117" i="1"/>
  <c r="E116" i="1"/>
  <c r="E114" i="1"/>
  <c r="K98" i="1"/>
  <c r="K97" i="1"/>
  <c r="K96" i="1"/>
  <c r="K95" i="1"/>
  <c r="K94" i="1"/>
  <c r="K93" i="1"/>
  <c r="K92" i="1"/>
  <c r="K91" i="1"/>
  <c r="K90" i="1"/>
  <c r="K89" i="1"/>
  <c r="K87" i="1"/>
  <c r="E97" i="1"/>
  <c r="E96" i="1"/>
  <c r="E95" i="1"/>
  <c r="E94" i="1"/>
  <c r="E93" i="1"/>
  <c r="E92" i="1"/>
  <c r="E91" i="1"/>
  <c r="E90" i="1"/>
  <c r="E89" i="1"/>
  <c r="E87" i="1"/>
  <c r="E77" i="1"/>
  <c r="E76" i="1"/>
  <c r="E75" i="1"/>
  <c r="E74" i="1"/>
  <c r="E73" i="1"/>
  <c r="E72" i="1"/>
  <c r="E71" i="1"/>
  <c r="E70" i="1"/>
  <c r="E69" i="1"/>
  <c r="E68" i="1"/>
  <c r="E66" i="1"/>
  <c r="K45" i="1"/>
  <c r="K44" i="1"/>
  <c r="K43" i="1"/>
  <c r="K42" i="1"/>
  <c r="K41" i="1"/>
  <c r="K40" i="1"/>
  <c r="K39" i="1"/>
  <c r="K38" i="1"/>
  <c r="K36" i="1"/>
  <c r="J46" i="1"/>
  <c r="I46" i="1"/>
  <c r="H46" i="1"/>
  <c r="E43" i="1"/>
  <c r="E42" i="1"/>
  <c r="E41" i="1"/>
  <c r="E40" i="1"/>
  <c r="E39" i="1"/>
  <c r="E38" i="1"/>
  <c r="E36" i="1"/>
  <c r="D44" i="1"/>
  <c r="C44" i="1"/>
  <c r="B44" i="1"/>
  <c r="K22" i="1"/>
  <c r="K21" i="1"/>
  <c r="K20" i="1"/>
  <c r="K19" i="1"/>
  <c r="K18" i="1"/>
  <c r="K17" i="1"/>
  <c r="K16" i="1"/>
  <c r="K14" i="1"/>
  <c r="J23" i="1"/>
  <c r="I23" i="1"/>
  <c r="C262" i="1" l="1"/>
  <c r="J335" i="1"/>
  <c r="D262" i="1"/>
  <c r="D234" i="1"/>
  <c r="J213" i="1"/>
  <c r="D213" i="1"/>
  <c r="J185" i="1"/>
  <c r="D185" i="1"/>
  <c r="J164" i="1"/>
  <c r="D164" i="1"/>
  <c r="J135" i="1"/>
  <c r="D135" i="1"/>
  <c r="J114" i="1"/>
  <c r="D114" i="1"/>
  <c r="J87" i="1"/>
  <c r="D87" i="1"/>
  <c r="D66" i="1"/>
  <c r="J36" i="1"/>
  <c r="D36" i="1"/>
  <c r="J14" i="1"/>
  <c r="H213" i="1" l="1"/>
  <c r="C164" i="1"/>
  <c r="B164" i="1"/>
  <c r="I234" i="1" l="1"/>
  <c r="J71" i="1"/>
  <c r="J72" i="1"/>
  <c r="J73" i="1"/>
  <c r="J74" i="1"/>
  <c r="J75" i="1"/>
  <c r="J76" i="1"/>
  <c r="J77" i="1"/>
  <c r="K77" i="1" l="1"/>
  <c r="K76" i="1"/>
  <c r="K75" i="1"/>
  <c r="K74" i="1"/>
  <c r="K73" i="1"/>
  <c r="K72" i="1"/>
  <c r="K71" i="1"/>
  <c r="K70" i="1"/>
  <c r="K69" i="1"/>
  <c r="K68" i="1"/>
  <c r="K66" i="1"/>
  <c r="I76" i="1"/>
  <c r="I77" i="1"/>
  <c r="H76" i="1"/>
  <c r="H77" i="1"/>
  <c r="I87" i="1"/>
  <c r="H87" i="1"/>
  <c r="I185" i="1" l="1"/>
  <c r="H185" i="1"/>
  <c r="H68" i="1"/>
  <c r="B16" i="1" s="1"/>
  <c r="H69" i="1"/>
  <c r="B17" i="1" s="1"/>
  <c r="H70" i="1"/>
  <c r="B18" i="1" s="1"/>
  <c r="I36" i="1"/>
  <c r="H36" i="1"/>
  <c r="H234" i="1" l="1"/>
  <c r="I75" i="1" l="1"/>
  <c r="B114" i="1" l="1"/>
  <c r="C114" i="1"/>
  <c r="D335" i="1" l="1"/>
  <c r="C335" i="1"/>
  <c r="B335" i="1"/>
  <c r="H75" i="1"/>
  <c r="H74" i="1"/>
  <c r="I335" i="1" l="1"/>
  <c r="H335" i="1"/>
  <c r="J313" i="1"/>
  <c r="I313" i="1"/>
  <c r="H313" i="1"/>
  <c r="D313" i="1"/>
  <c r="C313" i="1"/>
  <c r="B313" i="1"/>
  <c r="J284" i="1"/>
  <c r="I284" i="1"/>
  <c r="H284" i="1"/>
  <c r="C284" i="1"/>
  <c r="B284" i="1"/>
  <c r="J262" i="1"/>
  <c r="I262" i="1"/>
  <c r="H262" i="1"/>
  <c r="B262" i="1"/>
  <c r="B234" i="1"/>
  <c r="C234" i="1"/>
  <c r="C213" i="1"/>
  <c r="B213" i="1"/>
  <c r="C185" i="1"/>
  <c r="B185" i="1"/>
  <c r="I164" i="1"/>
  <c r="H164" i="1"/>
  <c r="I135" i="1"/>
  <c r="H135" i="1"/>
  <c r="C135" i="1"/>
  <c r="B135" i="1"/>
  <c r="I114" i="1"/>
  <c r="H114" i="1"/>
  <c r="C87" i="1"/>
  <c r="B87" i="1"/>
  <c r="I74" i="1"/>
  <c r="I73" i="1"/>
  <c r="H73" i="1"/>
  <c r="B21" i="1" s="1"/>
  <c r="I72" i="1"/>
  <c r="H72" i="1"/>
  <c r="I71" i="1"/>
  <c r="C19" i="1" s="1"/>
  <c r="H71" i="1"/>
  <c r="J70" i="1"/>
  <c r="D18" i="1" s="1"/>
  <c r="I70" i="1"/>
  <c r="C18" i="1" s="1"/>
  <c r="J69" i="1"/>
  <c r="D17" i="1" s="1"/>
  <c r="I69" i="1"/>
  <c r="C17" i="1" s="1"/>
  <c r="J68" i="1"/>
  <c r="I68" i="1"/>
  <c r="C16" i="1" s="1"/>
  <c r="C66" i="1"/>
  <c r="B66" i="1"/>
  <c r="C36" i="1"/>
  <c r="B36" i="1"/>
  <c r="I14" i="1"/>
  <c r="H14" i="1"/>
  <c r="E37" i="3"/>
  <c r="F37" i="3"/>
  <c r="D16" i="1" l="1"/>
  <c r="D14" i="1" s="1"/>
  <c r="J66" i="1"/>
  <c r="C14" i="1"/>
  <c r="B14" i="1"/>
  <c r="I66" i="1"/>
  <c r="H66" i="1"/>
</calcChain>
</file>

<file path=xl/sharedStrings.xml><?xml version="1.0" encoding="utf-8"?>
<sst xmlns="http://schemas.openxmlformats.org/spreadsheetml/2006/main" count="734" uniqueCount="69">
  <si>
    <t>STATE TOTAL</t>
  </si>
  <si>
    <t xml:space="preserve">   MINING (21)</t>
  </si>
  <si>
    <t>Total</t>
  </si>
  <si>
    <t xml:space="preserve">   Average</t>
  </si>
  <si>
    <t>Employment</t>
  </si>
  <si>
    <t xml:space="preserve">   Number of</t>
  </si>
  <si>
    <t xml:space="preserve">    March</t>
  </si>
  <si>
    <t>Quarterly</t>
  </si>
  <si>
    <t xml:space="preserve">   Monthly</t>
  </si>
  <si>
    <t xml:space="preserve">  Range</t>
  </si>
  <si>
    <t>Establishments</t>
  </si>
  <si>
    <t xml:space="preserve">  Employment</t>
  </si>
  <si>
    <t>Wages</t>
  </si>
  <si>
    <t xml:space="preserve">   Wage</t>
  </si>
  <si>
    <t xml:space="preserve">  Total</t>
  </si>
  <si>
    <t>0</t>
  </si>
  <si>
    <t>1-4</t>
  </si>
  <si>
    <t>5-9</t>
  </si>
  <si>
    <t>20-49</t>
  </si>
  <si>
    <t>50-99</t>
  </si>
  <si>
    <t>100-249</t>
  </si>
  <si>
    <t>250-499</t>
  </si>
  <si>
    <t>250 &amp; Over</t>
  </si>
  <si>
    <t>500-999</t>
  </si>
  <si>
    <t>1,000 &amp; Over</t>
  </si>
  <si>
    <t>UTILITIES (22)</t>
  </si>
  <si>
    <t xml:space="preserve">    CONSTRUCTION (23)</t>
  </si>
  <si>
    <t xml:space="preserve">   Total</t>
  </si>
  <si>
    <t xml:space="preserve"> </t>
  </si>
  <si>
    <t xml:space="preserve">       MANUFACTURING (31-33)</t>
  </si>
  <si>
    <t xml:space="preserve">   TRADE</t>
  </si>
  <si>
    <t>500 &amp; Over</t>
  </si>
  <si>
    <t xml:space="preserve">    Wholesale Trade (42)</t>
  </si>
  <si>
    <t>Retail Trade (44-45)</t>
  </si>
  <si>
    <t xml:space="preserve">   TRANSPORTATION AND WAREHOUSING (48-49)</t>
  </si>
  <si>
    <t xml:space="preserve">              INFORMATION (51)</t>
  </si>
  <si>
    <t>FINANCE AND INSURANCE (52)</t>
  </si>
  <si>
    <t>REAL ESTATE &amp; RENTAL AND LEASING (53)</t>
  </si>
  <si>
    <t>100 &amp; Over</t>
  </si>
  <si>
    <t>PROFESSIONAL, SCIENTIFIC, AND TECHNICAL SERVICES (54)</t>
  </si>
  <si>
    <t>MANAGEMENT OF COMPANIES AND ENTERPRISES (55)</t>
  </si>
  <si>
    <t>ADMINISTRATIVE &amp; SUPPORT, WASTE MANAGEMENT, &amp; REMEDIATION SERVICES (56)</t>
  </si>
  <si>
    <t>HEALTH CARE AND SOCIAL ASSISTANCE (62)</t>
  </si>
  <si>
    <t>ARTS, ENTERTAINMENT, AND RECREATION (71)</t>
  </si>
  <si>
    <t>ACCOMMODATION AND FOOD SERVICES (72)</t>
  </si>
  <si>
    <t>OTHER SERVICES (81)</t>
  </si>
  <si>
    <t>FEDERAL GOVERNMENT</t>
  </si>
  <si>
    <t>FEDERAL DEFENSE</t>
  </si>
  <si>
    <t>STATE GOVERNMENT</t>
  </si>
  <si>
    <t>STATE EDUCATION</t>
  </si>
  <si>
    <t>LOCAL GOVERNMENT</t>
  </si>
  <si>
    <t>LOCAL EDUCATION</t>
  </si>
  <si>
    <t>PRIVATE SECTOR</t>
  </si>
  <si>
    <t>GOVERNMENT (92)</t>
  </si>
  <si>
    <t>500 &amp;  Over</t>
  </si>
  <si>
    <t>500 - 999</t>
  </si>
  <si>
    <t>10-19</t>
  </si>
  <si>
    <t>1000 &amp; Over</t>
  </si>
  <si>
    <t xml:space="preserve">250-499 </t>
  </si>
  <si>
    <t>EDUCATIONAL SERVICES (PRIVATE) (61)</t>
  </si>
  <si>
    <t>.</t>
  </si>
  <si>
    <t>`</t>
  </si>
  <si>
    <t>EMPLOYMENT RANGE AND NAICS SECTOR, FIRST QUARTER 2018</t>
  </si>
  <si>
    <t xml:space="preserve">    </t>
  </si>
  <si>
    <t>SOURCE: Utah Department of Workforce Services, Workforce Research &amp; Analysis, Utah Employers, Employment, and Wages by Size, 2019.</t>
  </si>
  <si>
    <t xml:space="preserve">BY EMPLOYMENT RANGE AND NAICS SECTOR, FIRST QUARTER 2019
</t>
  </si>
  <si>
    <t>EMPLOYMENT RANGE AND NAICS SECTOR, FIRST QUARTER 2019</t>
  </si>
  <si>
    <t xml:space="preserve">TABLE 16.  UTAH NONAGRICULTURAL ESTABLISHMENTS, EMPLOYMENT, AND WAGES
</t>
  </si>
  <si>
    <t xml:space="preserve">TABLE 16.  (cont.) UTAH NONAGRICULTURAL ESTABLISHMENTS, EMPLOYMENT, AND WAGES 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</si>
</sst>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\ ;\(&quot;$&quot;#,##0\)"/>
    <numFmt numFmtId="165" formatCode="&quot;$&quot;#,##0"/>
  </numFmts>
  <fonts count="7" x14ac:knownFonts="1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5">
    <xf numFmtId="3" fontId="0" fillId="0" borderId="0" xfId="0" applyNumberFormat="1"/>
    <xf numFmtId="164" fontId="0" fillId="0" borderId="0" xfId="0" applyNumberFormat="1"/>
    <xf numFmtId="3" fontId="0" fillId="0" borderId="0" xfId="0" quotePrefix="1" applyNumberFormat="1"/>
    <xf numFmtId="165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/>
    <xf numFmtId="3" fontId="5" fillId="4" borderId="0" xfId="0" applyNumberFormat="1" applyFont="1" applyFill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center" vertical="top"/>
    </xf>
    <xf numFmtId="3" fontId="0" fillId="3" borderId="0" xfId="0" applyNumberFormat="1" applyFill="1" applyBorder="1"/>
    <xf numFmtId="3" fontId="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/>
    <xf numFmtId="3" fontId="4" fillId="0" borderId="0" xfId="0" applyNumberFormat="1" applyFont="1" applyBorder="1"/>
    <xf numFmtId="3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left"/>
    </xf>
    <xf numFmtId="165" fontId="4" fillId="0" borderId="0" xfId="0" applyNumberFormat="1" applyFont="1" applyFill="1" applyBorder="1"/>
    <xf numFmtId="164" fontId="4" fillId="0" borderId="0" xfId="0" applyNumberFormat="1" applyFont="1" applyBorder="1"/>
    <xf numFmtId="3" fontId="0" fillId="5" borderId="0" xfId="0" applyNumberFormat="1" applyFill="1" applyBorder="1"/>
    <xf numFmtId="3" fontId="4" fillId="5" borderId="0" xfId="0" applyNumberFormat="1" applyFont="1" applyFill="1" applyBorder="1"/>
    <xf numFmtId="165" fontId="4" fillId="5" borderId="0" xfId="0" applyNumberFormat="1" applyFont="1" applyFill="1" applyBorder="1"/>
    <xf numFmtId="164" fontId="4" fillId="5" borderId="0" xfId="0" applyNumberFormat="1" applyFont="1" applyFill="1" applyBorder="1"/>
    <xf numFmtId="3" fontId="0" fillId="5" borderId="0" xfId="0" quotePrefix="1" applyNumberFormat="1" applyFill="1" applyBorder="1"/>
    <xf numFmtId="3" fontId="2" fillId="5" borderId="0" xfId="0" applyNumberFormat="1" applyFont="1" applyFill="1" applyBorder="1"/>
    <xf numFmtId="3" fontId="0" fillId="0" borderId="0" xfId="0" applyNumberFormat="1" applyFill="1" applyBorder="1"/>
    <xf numFmtId="3" fontId="2" fillId="5" borderId="0" xfId="1" applyNumberFormat="1" applyFont="1" applyFill="1" applyBorder="1"/>
    <xf numFmtId="3" fontId="2" fillId="0" borderId="0" xfId="0" applyNumberFormat="1" applyFont="1" applyBorder="1" applyAlignment="1"/>
    <xf numFmtId="3" fontId="0" fillId="0" borderId="0" xfId="0" applyNumberFormat="1" applyBorder="1" applyAlignment="1"/>
    <xf numFmtId="3" fontId="2" fillId="0" borderId="0" xfId="0" applyNumberFormat="1" applyFont="1" applyBorder="1" applyAlignment="1"/>
    <xf numFmtId="3" fontId="0" fillId="0" borderId="0" xfId="0" applyNumberFormat="1" applyBorder="1" applyAlignment="1"/>
    <xf numFmtId="3" fontId="5" fillId="4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Border="1"/>
    <xf numFmtId="3" fontId="4" fillId="0" borderId="0" xfId="0" applyNumberFormat="1" applyFont="1" applyFill="1" applyBorder="1"/>
    <xf numFmtId="3" fontId="2" fillId="0" borderId="0" xfId="0" applyNumberFormat="1" applyFont="1" applyFill="1" applyBorder="1"/>
    <xf numFmtId="3" fontId="0" fillId="0" borderId="0" xfId="0" applyNumberForma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3" fontId="0" fillId="5" borderId="0" xfId="0" applyNumberFormat="1" applyFill="1" applyBorder="1" applyAlignment="1">
      <alignment horizontal="left"/>
    </xf>
    <xf numFmtId="3" fontId="4" fillId="2" borderId="0" xfId="0" applyNumberFormat="1" applyFont="1" applyFill="1" applyBorder="1" applyAlignment="1">
      <alignment horizontal="left"/>
    </xf>
    <xf numFmtId="3" fontId="5" fillId="3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Border="1"/>
    <xf numFmtId="3" fontId="1" fillId="0" borderId="0" xfId="0" applyNumberFormat="1" applyFont="1" applyFill="1" applyBorder="1"/>
    <xf numFmtId="164" fontId="4" fillId="0" borderId="0" xfId="0" applyNumberFormat="1" applyFont="1" applyBorder="1" applyAlignment="1"/>
    <xf numFmtId="3" fontId="0" fillId="0" borderId="0" xfId="0" quotePrefix="1" applyNumberFormat="1" applyBorder="1"/>
    <xf numFmtId="3" fontId="3" fillId="5" borderId="0" xfId="0" applyNumberFormat="1" applyFont="1" applyFill="1" applyBorder="1"/>
    <xf numFmtId="164" fontId="0" fillId="0" borderId="0" xfId="0" applyNumberFormat="1" applyBorder="1"/>
    <xf numFmtId="4" fontId="0" fillId="0" borderId="0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098779134295227E-2"/>
          <c:y val="1.6313213703099509E-2"/>
          <c:w val="0.97780244173140951"/>
          <c:h val="0.9673735725938009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020352"/>
        <c:axId val="200021888"/>
      </c:barChart>
      <c:catAx>
        <c:axId val="20002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021888"/>
        <c:crosses val="autoZero"/>
        <c:auto val="1"/>
        <c:lblAlgn val="ctr"/>
        <c:lblOffset val="100"/>
        <c:tickMarkSkip val="1"/>
        <c:noMultiLvlLbl val="0"/>
      </c:catAx>
      <c:valAx>
        <c:axId val="200021888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020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Number of Employment by Construction Firm Size; March 2005</a:t>
            </a:r>
          </a:p>
        </c:rich>
      </c:tx>
      <c:layout>
        <c:manualLayout>
          <c:xMode val="edge"/>
          <c:yMode val="edge"/>
          <c:x val="0.13400000000000001"/>
          <c:y val="3.7162162162162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"/>
          <c:y val="0.25675675675675674"/>
          <c:w val="0.42399999999999999"/>
          <c:h val="0.591216216216216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Sheet1!$E$33:$E$34</c:f>
              <c:strCache>
                <c:ptCount val="2"/>
                <c:pt idx="0">
                  <c:v>   Number of</c:v>
                </c:pt>
                <c:pt idx="1">
                  <c:v>Establishments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Sheet1!$D$35:$D$46</c:f>
              <c:strCache>
                <c:ptCount val="8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10-19</c:v>
                </c:pt>
                <c:pt idx="4">
                  <c:v>20-49</c:v>
                </c:pt>
                <c:pt idx="5">
                  <c:v>50-99</c:v>
                </c:pt>
                <c:pt idx="6">
                  <c:v>100-249</c:v>
                </c:pt>
                <c:pt idx="7">
                  <c:v>250 &amp; Over</c:v>
                </c:pt>
              </c:strCache>
            </c:strRef>
          </c:cat>
          <c:val>
            <c:numRef>
              <c:f>Sheet1!$E$35:$E$46</c:f>
              <c:numCache>
                <c:formatCode>#,##0</c:formatCode>
                <c:ptCount val="8"/>
                <c:pt idx="0">
                  <c:v>2509</c:v>
                </c:pt>
                <c:pt idx="1">
                  <c:v>5021</c:v>
                </c:pt>
                <c:pt idx="2">
                  <c:v>2051</c:v>
                </c:pt>
                <c:pt idx="3">
                  <c:v>1105</c:v>
                </c:pt>
                <c:pt idx="4">
                  <c:v>600</c:v>
                </c:pt>
                <c:pt idx="5">
                  <c:v>147</c:v>
                </c:pt>
                <c:pt idx="6">
                  <c:v>46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6-4701-9F33-A7F4A57D9D86}"/>
            </c:ext>
          </c:extLst>
        </c:ser>
        <c:ser>
          <c:idx val="1"/>
          <c:order val="1"/>
          <c:tx>
            <c:strRef>
              <c:f>Sheet1!$F$33:$F$34</c:f>
              <c:strCache>
                <c:ptCount val="2"/>
                <c:pt idx="0">
                  <c:v>    March</c:v>
                </c:pt>
                <c:pt idx="1">
                  <c:v>  Employment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Sheet1!$D$35:$D$46</c:f>
              <c:strCache>
                <c:ptCount val="8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10-19</c:v>
                </c:pt>
                <c:pt idx="4">
                  <c:v>20-49</c:v>
                </c:pt>
                <c:pt idx="5">
                  <c:v>50-99</c:v>
                </c:pt>
                <c:pt idx="6">
                  <c:v>100-249</c:v>
                </c:pt>
                <c:pt idx="7">
                  <c:v>250 &amp; Over</c:v>
                </c:pt>
              </c:strCache>
            </c:strRef>
          </c:cat>
          <c:val>
            <c:numRef>
              <c:f>Sheet1!$F$35:$F$46</c:f>
              <c:numCache>
                <c:formatCode>#,##0</c:formatCode>
                <c:ptCount val="8"/>
                <c:pt idx="0">
                  <c:v>0</c:v>
                </c:pt>
                <c:pt idx="1">
                  <c:v>10846</c:v>
                </c:pt>
                <c:pt idx="2">
                  <c:v>13412</c:v>
                </c:pt>
                <c:pt idx="3">
                  <c:v>14764</c:v>
                </c:pt>
                <c:pt idx="4">
                  <c:v>17856</c:v>
                </c:pt>
                <c:pt idx="5">
                  <c:v>9860</c:v>
                </c:pt>
                <c:pt idx="6">
                  <c:v>6192</c:v>
                </c:pt>
                <c:pt idx="7">
                  <c:v>1730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66-4701-9F33-A7F4A57D9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22272"/>
        <c:axId val="240428160"/>
      </c:barChart>
      <c:catAx>
        <c:axId val="240422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04281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0428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0422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"/>
          <c:y val="0.42567567567567566"/>
          <c:w val="0.31399999999999995"/>
          <c:h val="0.2533783783783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8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16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27</xdr:row>
      <xdr:rowOff>142875</xdr:rowOff>
    </xdr:from>
    <xdr:to>
      <xdr:col>8</xdr:col>
      <xdr:colOff>352425</xdr:colOff>
      <xdr:row>49</xdr:row>
      <xdr:rowOff>47625</xdr:rowOff>
    </xdr:to>
    <xdr:graphicFrame macro="">
      <xdr:nvGraphicFramePr>
        <xdr:cNvPr id="1080" name="Chart 1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5:H65"/>
  <sheetViews>
    <sheetView workbookViewId="0">
      <selection activeCell="L49" sqref="L49"/>
    </sheetView>
  </sheetViews>
  <sheetFormatPr defaultRowHeight="12.75" x14ac:dyDescent="0.2"/>
  <cols>
    <col min="3" max="3" width="10.5703125" customWidth="1"/>
    <col min="4" max="4" width="11.7109375" customWidth="1"/>
    <col min="5" max="5" width="12.28515625" customWidth="1"/>
    <col min="6" max="6" width="12.140625" customWidth="1"/>
    <col min="7" max="7" width="15.28515625" customWidth="1"/>
  </cols>
  <sheetData>
    <row r="15" hidden="1" x14ac:dyDescent="0.2"/>
    <row r="16" hidden="1" x14ac:dyDescent="0.2"/>
    <row r="17" spans="4:8" hidden="1" x14ac:dyDescent="0.2">
      <c r="G17" s="3"/>
      <c r="H17" s="1"/>
    </row>
    <row r="18" spans="4:8" hidden="1" x14ac:dyDescent="0.2">
      <c r="D18" s="2"/>
    </row>
    <row r="33" spans="4:6" x14ac:dyDescent="0.2">
      <c r="D33" t="s">
        <v>4</v>
      </c>
      <c r="E33" t="s">
        <v>5</v>
      </c>
      <c r="F33" t="s">
        <v>6</v>
      </c>
    </row>
    <row r="34" spans="4:6" x14ac:dyDescent="0.2">
      <c r="D34" t="s">
        <v>9</v>
      </c>
      <c r="E34" t="s">
        <v>10</v>
      </c>
      <c r="F34" t="s">
        <v>11</v>
      </c>
    </row>
    <row r="35" spans="4:6" hidden="1" x14ac:dyDescent="0.2"/>
    <row r="36" spans="4:6" hidden="1" x14ac:dyDescent="0.2"/>
    <row r="37" spans="4:6" hidden="1" x14ac:dyDescent="0.2">
      <c r="D37" t="s">
        <v>14</v>
      </c>
      <c r="E37">
        <f>SUM(E39:E46)</f>
        <v>11484</v>
      </c>
      <c r="F37">
        <f>SUM(F39:F46)</f>
        <v>74660</v>
      </c>
    </row>
    <row r="38" spans="4:6" hidden="1" x14ac:dyDescent="0.2"/>
    <row r="39" spans="4:6" x14ac:dyDescent="0.2">
      <c r="D39" t="s">
        <v>15</v>
      </c>
      <c r="E39">
        <v>2509</v>
      </c>
      <c r="F39">
        <v>0</v>
      </c>
    </row>
    <row r="40" spans="4:6" x14ac:dyDescent="0.2">
      <c r="D40" t="s">
        <v>16</v>
      </c>
      <c r="E40">
        <v>5021</v>
      </c>
      <c r="F40">
        <v>10846</v>
      </c>
    </row>
    <row r="41" spans="4:6" x14ac:dyDescent="0.2">
      <c r="D41" t="s">
        <v>17</v>
      </c>
      <c r="E41">
        <v>2051</v>
      </c>
      <c r="F41">
        <v>13412</v>
      </c>
    </row>
    <row r="42" spans="4:6" x14ac:dyDescent="0.2">
      <c r="D42" s="2" t="s">
        <v>56</v>
      </c>
      <c r="E42">
        <v>1105</v>
      </c>
      <c r="F42">
        <v>14764</v>
      </c>
    </row>
    <row r="43" spans="4:6" x14ac:dyDescent="0.2">
      <c r="D43" t="s">
        <v>18</v>
      </c>
      <c r="E43">
        <v>600</v>
      </c>
      <c r="F43">
        <v>17856</v>
      </c>
    </row>
    <row r="44" spans="4:6" x14ac:dyDescent="0.2">
      <c r="D44" t="s">
        <v>19</v>
      </c>
      <c r="E44">
        <v>147</v>
      </c>
      <c r="F44">
        <v>9860</v>
      </c>
    </row>
    <row r="45" spans="4:6" x14ac:dyDescent="0.2">
      <c r="D45" t="s">
        <v>20</v>
      </c>
      <c r="E45">
        <v>46</v>
      </c>
      <c r="F45">
        <v>6192</v>
      </c>
    </row>
    <row r="46" spans="4:6" x14ac:dyDescent="0.2">
      <c r="D46" t="s">
        <v>22</v>
      </c>
      <c r="E46">
        <v>5</v>
      </c>
      <c r="F46">
        <v>1730</v>
      </c>
    </row>
    <row r="58" spans="3:5" x14ac:dyDescent="0.2">
      <c r="C58" t="s">
        <v>15</v>
      </c>
      <c r="D58">
        <v>2509</v>
      </c>
      <c r="E58">
        <v>0</v>
      </c>
    </row>
    <row r="59" spans="3:5" x14ac:dyDescent="0.2">
      <c r="C59" t="s">
        <v>16</v>
      </c>
      <c r="D59">
        <v>7530</v>
      </c>
      <c r="E59">
        <v>10846</v>
      </c>
    </row>
    <row r="60" spans="3:5" x14ac:dyDescent="0.2">
      <c r="C60" t="s">
        <v>17</v>
      </c>
      <c r="D60">
        <v>2051</v>
      </c>
      <c r="E60">
        <v>13412</v>
      </c>
    </row>
    <row r="61" spans="3:5" x14ac:dyDescent="0.2">
      <c r="C61" s="2" t="s">
        <v>56</v>
      </c>
      <c r="D61">
        <v>1105</v>
      </c>
      <c r="E61">
        <v>14764</v>
      </c>
    </row>
    <row r="62" spans="3:5" x14ac:dyDescent="0.2">
      <c r="C62" t="s">
        <v>18</v>
      </c>
      <c r="D62">
        <v>600</v>
      </c>
      <c r="E62">
        <v>17856</v>
      </c>
    </row>
    <row r="63" spans="3:5" x14ac:dyDescent="0.2">
      <c r="C63" t="s">
        <v>19</v>
      </c>
      <c r="D63">
        <v>147</v>
      </c>
      <c r="E63">
        <v>9860</v>
      </c>
    </row>
    <row r="64" spans="3:5" x14ac:dyDescent="0.2">
      <c r="C64" t="s">
        <v>20</v>
      </c>
      <c r="D64">
        <v>46</v>
      </c>
      <c r="E64">
        <v>6192</v>
      </c>
    </row>
    <row r="65" spans="3:5" x14ac:dyDescent="0.2">
      <c r="C65" t="s">
        <v>22</v>
      </c>
      <c r="D65">
        <v>5</v>
      </c>
      <c r="E65">
        <v>1730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782"/>
  <sheetViews>
    <sheetView tabSelected="1" zoomScaleNormal="100" workbookViewId="0">
      <selection activeCell="M24" sqref="M24"/>
    </sheetView>
  </sheetViews>
  <sheetFormatPr defaultRowHeight="12.75" x14ac:dyDescent="0.2"/>
  <cols>
    <col min="1" max="1" width="12.7109375" style="4" customWidth="1"/>
    <col min="2" max="2" width="14.42578125" style="4" bestFit="1" customWidth="1"/>
    <col min="3" max="3" width="13.7109375" style="4" customWidth="1"/>
    <col min="4" max="4" width="15.85546875" style="4" customWidth="1"/>
    <col min="5" max="5" width="16.28515625" style="4" customWidth="1"/>
    <col min="6" max="6" width="6.7109375" style="4" customWidth="1"/>
    <col min="7" max="7" width="12.7109375" style="4" customWidth="1"/>
    <col min="8" max="8" width="14.42578125" style="4" bestFit="1" customWidth="1"/>
    <col min="9" max="9" width="13.7109375" style="4" customWidth="1"/>
    <col min="10" max="10" width="17" style="4" customWidth="1"/>
    <col min="11" max="11" width="11.7109375" style="4" customWidth="1"/>
    <col min="12" max="12" width="9.140625" style="4"/>
    <col min="13" max="13" width="12.7109375" style="4" customWidth="1"/>
    <col min="14" max="14" width="11.7109375" style="4" customWidth="1"/>
    <col min="15" max="15" width="12.7109375" style="4" customWidth="1"/>
    <col min="16" max="16" width="14.7109375" style="4" customWidth="1"/>
    <col min="17" max="17" width="12.7109375" style="4" customWidth="1"/>
    <col min="18" max="18" width="11.140625" style="4" bestFit="1" customWidth="1"/>
    <col min="19" max="19" width="12.7109375" style="4" customWidth="1"/>
    <col min="20" max="20" width="14.7109375" style="4" customWidth="1"/>
    <col min="21" max="21" width="11.7109375" style="4" customWidth="1"/>
    <col min="22" max="22" width="14.7109375" style="4" customWidth="1"/>
    <col min="23" max="23" width="11.7109375" style="4" customWidth="1"/>
    <col min="24" max="25" width="11.140625" style="4" bestFit="1" customWidth="1"/>
    <col min="26" max="27" width="9.140625" style="4"/>
    <col min="28" max="28" width="10.7109375" style="4" customWidth="1"/>
    <col min="29" max="31" width="9.140625" style="4"/>
    <col min="32" max="32" width="3.7109375" style="4" customWidth="1"/>
    <col min="33" max="35" width="9.140625" style="4"/>
    <col min="36" max="36" width="4.7109375" style="4" customWidth="1"/>
    <col min="37" max="37" width="15.7109375" style="4" customWidth="1"/>
    <col min="38" max="40" width="9.140625" style="4"/>
    <col min="41" max="41" width="12.7109375" style="4" customWidth="1"/>
    <col min="42" max="43" width="11.7109375" style="4" customWidth="1"/>
    <col min="44" max="44" width="14.7109375" style="4" customWidth="1"/>
    <col min="45" max="45" width="11.7109375" style="4" customWidth="1"/>
    <col min="46" max="46" width="9.140625" style="4"/>
    <col min="47" max="47" width="12.7109375" style="4" customWidth="1"/>
    <col min="48" max="49" width="11.7109375" style="4" customWidth="1"/>
    <col min="50" max="50" width="14.7109375" style="4" customWidth="1"/>
    <col min="51" max="51" width="11.7109375" style="4" customWidth="1"/>
    <col min="52" max="52" width="9.140625" style="4"/>
    <col min="53" max="55" width="11.7109375" style="4" customWidth="1"/>
    <col min="56" max="56" width="14.7109375" style="4" customWidth="1"/>
    <col min="57" max="57" width="11.7109375" style="4" customWidth="1"/>
    <col min="58" max="58" width="9.140625" style="4"/>
    <col min="59" max="61" width="11.7109375" style="4" customWidth="1"/>
    <col min="62" max="62" width="14.7109375" style="4" customWidth="1"/>
    <col min="63" max="63" width="11.7109375" style="4" customWidth="1"/>
    <col min="64" max="64" width="9.140625" style="4"/>
    <col min="65" max="65" width="12.7109375" style="4" customWidth="1"/>
    <col min="66" max="67" width="11.7109375" style="4" customWidth="1"/>
    <col min="68" max="68" width="14.7109375" style="4" customWidth="1"/>
    <col min="69" max="69" width="11.7109375" style="4" customWidth="1"/>
    <col min="70" max="70" width="9.140625" style="4"/>
    <col min="71" max="71" width="12.7109375" style="4" customWidth="1"/>
    <col min="72" max="73" width="11.7109375" style="4" customWidth="1"/>
    <col min="74" max="74" width="14.7109375" style="4" customWidth="1"/>
    <col min="75" max="75" width="11.7109375" style="4" customWidth="1"/>
    <col min="76" max="16384" width="9.140625" style="4"/>
  </cols>
  <sheetData>
    <row r="1" spans="1:13" x14ac:dyDescent="0.2">
      <c r="A1" s="4" t="s">
        <v>63</v>
      </c>
    </row>
    <row r="3" spans="1:13" x14ac:dyDescent="0.2">
      <c r="G3" s="5" t="s">
        <v>61</v>
      </c>
    </row>
    <row r="4" spans="1:13" x14ac:dyDescent="0.2">
      <c r="A4" s="6" t="s">
        <v>67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x14ac:dyDescent="0.2">
      <c r="A5" s="6" t="s">
        <v>65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3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s="11" customFormat="1" x14ac:dyDescent="0.2">
      <c r="A7" s="9" t="s">
        <v>0</v>
      </c>
      <c r="B7" s="9"/>
      <c r="C7" s="9"/>
      <c r="D7" s="9"/>
      <c r="E7" s="9"/>
      <c r="F7" s="10"/>
      <c r="G7" s="9" t="s">
        <v>1</v>
      </c>
      <c r="H7" s="9"/>
      <c r="I7" s="9"/>
      <c r="J7" s="9"/>
      <c r="K7" s="9"/>
    </row>
    <row r="8" spans="1:13" s="11" customForma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3" s="11" customFormat="1" x14ac:dyDescent="0.2">
      <c r="A9" s="12"/>
      <c r="B9" s="12"/>
      <c r="C9" s="12"/>
      <c r="D9" s="12" t="s">
        <v>2</v>
      </c>
      <c r="E9" s="12" t="s">
        <v>3</v>
      </c>
      <c r="F9" s="10"/>
      <c r="G9" s="12"/>
      <c r="H9" s="12"/>
      <c r="I9" s="12"/>
      <c r="J9" s="12" t="s">
        <v>2</v>
      </c>
      <c r="K9" s="12" t="s">
        <v>3</v>
      </c>
    </row>
    <row r="10" spans="1:13" s="11" customFormat="1" x14ac:dyDescent="0.2">
      <c r="A10" s="13" t="s">
        <v>4</v>
      </c>
      <c r="B10" s="12" t="s">
        <v>5</v>
      </c>
      <c r="C10" s="12" t="s">
        <v>6</v>
      </c>
      <c r="D10" s="12" t="s">
        <v>7</v>
      </c>
      <c r="E10" s="12" t="s">
        <v>8</v>
      </c>
      <c r="F10" s="10"/>
      <c r="G10" s="13" t="s">
        <v>4</v>
      </c>
      <c r="H10" s="12" t="s">
        <v>5</v>
      </c>
      <c r="I10" s="12" t="s">
        <v>6</v>
      </c>
      <c r="J10" s="12" t="s">
        <v>7</v>
      </c>
      <c r="K10" s="12" t="s">
        <v>8</v>
      </c>
    </row>
    <row r="11" spans="1:13" s="11" customFormat="1" x14ac:dyDescent="0.2">
      <c r="A11" s="13" t="s">
        <v>9</v>
      </c>
      <c r="B11" s="12" t="s">
        <v>10</v>
      </c>
      <c r="C11" s="12" t="s">
        <v>11</v>
      </c>
      <c r="D11" s="12" t="s">
        <v>12</v>
      </c>
      <c r="E11" s="12" t="s">
        <v>13</v>
      </c>
      <c r="F11" s="10"/>
      <c r="G11" s="13" t="s">
        <v>9</v>
      </c>
      <c r="H11" s="12" t="s">
        <v>10</v>
      </c>
      <c r="I11" s="12" t="s">
        <v>11</v>
      </c>
      <c r="J11" s="12" t="s">
        <v>12</v>
      </c>
      <c r="K11" s="12" t="s">
        <v>13</v>
      </c>
    </row>
    <row r="14" spans="1:13" s="11" customFormat="1" x14ac:dyDescent="0.2">
      <c r="A14" s="11" t="s">
        <v>14</v>
      </c>
      <c r="B14" s="11">
        <f>SUM(B16:B25)</f>
        <v>104580</v>
      </c>
      <c r="C14" s="11">
        <f>SUM(C17:C25)</f>
        <v>1543611</v>
      </c>
      <c r="D14" s="14">
        <f>SUM(D16:D25)</f>
        <v>19116482510</v>
      </c>
      <c r="E14" s="15">
        <v>4153</v>
      </c>
      <c r="G14" s="11" t="s">
        <v>14</v>
      </c>
      <c r="H14" s="11">
        <f>SUM(H16:H25)</f>
        <v>550</v>
      </c>
      <c r="I14" s="11">
        <f>SUM(I16:I25)</f>
        <v>9328</v>
      </c>
      <c r="J14" s="11">
        <f>SUM(J16:J23)</f>
        <v>197755861</v>
      </c>
      <c r="K14" s="11">
        <f>21304/3</f>
        <v>7101.333333333333</v>
      </c>
    </row>
    <row r="15" spans="1:13" x14ac:dyDescent="0.2">
      <c r="L15" s="16"/>
      <c r="M15" s="16"/>
    </row>
    <row r="16" spans="1:13" x14ac:dyDescent="0.2">
      <c r="A16" s="4" t="s">
        <v>15</v>
      </c>
      <c r="B16" s="4">
        <f t="shared" ref="B16:C21" si="0">H16+B38+H38+B68+B116+H116+B137+H137+B166+H166+B187+H187+H215+B215+H236+B236+B264+H68</f>
        <v>13936</v>
      </c>
      <c r="C16" s="5">
        <f t="shared" si="0"/>
        <v>0</v>
      </c>
      <c r="D16" s="5">
        <f t="shared" ref="D16:D18" si="1">SUM(J16,D38,J38,D68,J68,D116,J116,D137,J137,D166,J166,D187,J187,D215,J215,D236,J236,D264)</f>
        <v>67253128</v>
      </c>
      <c r="E16" s="4">
        <v>4363</v>
      </c>
      <c r="G16" s="4" t="s">
        <v>15</v>
      </c>
      <c r="H16" s="4">
        <v>79</v>
      </c>
      <c r="I16" s="4">
        <v>0</v>
      </c>
      <c r="J16" s="4">
        <v>492519</v>
      </c>
      <c r="K16" s="4">
        <f>28415/3</f>
        <v>9471.6666666666661</v>
      </c>
      <c r="L16" s="16"/>
      <c r="M16" s="16"/>
    </row>
    <row r="17" spans="1:13" x14ac:dyDescent="0.2">
      <c r="A17" s="4" t="s">
        <v>16</v>
      </c>
      <c r="B17" s="4">
        <f t="shared" si="0"/>
        <v>49152</v>
      </c>
      <c r="C17" s="5">
        <f t="shared" si="0"/>
        <v>88781</v>
      </c>
      <c r="D17" s="5">
        <f t="shared" si="1"/>
        <v>1189849394</v>
      </c>
      <c r="E17" s="4">
        <v>4516</v>
      </c>
      <c r="G17" s="4" t="s">
        <v>16</v>
      </c>
      <c r="H17" s="4">
        <v>230</v>
      </c>
      <c r="I17" s="4">
        <v>422</v>
      </c>
      <c r="J17" s="4">
        <v>7169751</v>
      </c>
      <c r="K17" s="4">
        <f>16765/3</f>
        <v>5588.333333333333</v>
      </c>
      <c r="L17" s="16"/>
      <c r="M17" s="16"/>
    </row>
    <row r="18" spans="1:13" x14ac:dyDescent="0.2">
      <c r="A18" s="4" t="s">
        <v>17</v>
      </c>
      <c r="B18" s="5">
        <f t="shared" si="0"/>
        <v>15517</v>
      </c>
      <c r="C18" s="5">
        <f t="shared" si="0"/>
        <v>103732</v>
      </c>
      <c r="D18" s="5">
        <f t="shared" si="1"/>
        <v>1076544141</v>
      </c>
      <c r="E18" s="4">
        <v>3505</v>
      </c>
      <c r="G18" s="4" t="s">
        <v>17</v>
      </c>
      <c r="H18" s="4">
        <v>86</v>
      </c>
      <c r="I18" s="4">
        <v>582</v>
      </c>
      <c r="J18" s="4">
        <v>9165461</v>
      </c>
      <c r="K18" s="4">
        <f>16070/3</f>
        <v>5356.666666666667</v>
      </c>
      <c r="L18" s="16"/>
      <c r="M18" s="16"/>
    </row>
    <row r="19" spans="1:13" x14ac:dyDescent="0.2">
      <c r="A19" s="4" t="s">
        <v>56</v>
      </c>
      <c r="B19" s="5">
        <v>11834</v>
      </c>
      <c r="C19" s="5">
        <f t="shared" si="0"/>
        <v>161313</v>
      </c>
      <c r="D19" s="5">
        <v>1592281848</v>
      </c>
      <c r="E19" s="4">
        <v>3339</v>
      </c>
      <c r="G19" s="4" t="s">
        <v>56</v>
      </c>
      <c r="H19" s="4">
        <v>67</v>
      </c>
      <c r="I19" s="4">
        <v>908</v>
      </c>
      <c r="J19" s="4">
        <v>14159088</v>
      </c>
      <c r="K19" s="4">
        <f>15458/3</f>
        <v>5152.666666666667</v>
      </c>
      <c r="L19" s="16"/>
      <c r="M19" s="16"/>
    </row>
    <row r="20" spans="1:13" x14ac:dyDescent="0.2">
      <c r="A20" s="4" t="s">
        <v>18</v>
      </c>
      <c r="B20" s="5">
        <v>8644</v>
      </c>
      <c r="C20" s="5">
        <v>262171</v>
      </c>
      <c r="D20" s="5">
        <v>2770594088</v>
      </c>
      <c r="E20" s="4">
        <v>3572</v>
      </c>
      <c r="G20" s="4" t="s">
        <v>18</v>
      </c>
      <c r="H20" s="4">
        <v>50</v>
      </c>
      <c r="I20" s="4">
        <v>1414</v>
      </c>
      <c r="J20" s="4">
        <v>27396765</v>
      </c>
      <c r="K20" s="4">
        <f>19555/3</f>
        <v>6518.333333333333</v>
      </c>
      <c r="L20" s="16"/>
      <c r="M20" s="16"/>
    </row>
    <row r="21" spans="1:13" x14ac:dyDescent="0.2">
      <c r="A21" s="4" t="s">
        <v>19</v>
      </c>
      <c r="B21" s="4">
        <f t="shared" si="0"/>
        <v>3223</v>
      </c>
      <c r="C21" s="5">
        <v>221391</v>
      </c>
      <c r="D21" s="5">
        <v>2464659909</v>
      </c>
      <c r="E21" s="4">
        <v>3744</v>
      </c>
      <c r="G21" s="4" t="s">
        <v>19</v>
      </c>
      <c r="H21" s="4">
        <v>19</v>
      </c>
      <c r="I21" s="4">
        <v>1372</v>
      </c>
      <c r="J21" s="4">
        <v>27391384</v>
      </c>
      <c r="K21" s="4">
        <f>20160/3</f>
        <v>6720</v>
      </c>
      <c r="L21" s="16"/>
      <c r="M21" s="16"/>
    </row>
    <row r="22" spans="1:13" x14ac:dyDescent="0.2">
      <c r="A22" s="4" t="s">
        <v>20</v>
      </c>
      <c r="B22" s="4">
        <v>1630</v>
      </c>
      <c r="C22" s="5">
        <v>240991</v>
      </c>
      <c r="D22" s="5">
        <v>3079970983</v>
      </c>
      <c r="E22" s="4">
        <v>4284</v>
      </c>
      <c r="G22" s="4" t="s">
        <v>20</v>
      </c>
      <c r="H22" s="4">
        <v>13</v>
      </c>
      <c r="I22" s="4">
        <v>1814</v>
      </c>
      <c r="J22" s="4">
        <v>39983557</v>
      </c>
      <c r="K22" s="4">
        <f>22300/3</f>
        <v>7433.333333333333</v>
      </c>
      <c r="L22" s="16"/>
      <c r="M22" s="16"/>
    </row>
    <row r="23" spans="1:13" x14ac:dyDescent="0.2">
      <c r="A23" s="4" t="s">
        <v>21</v>
      </c>
      <c r="B23" s="4">
        <v>402</v>
      </c>
      <c r="C23" s="5">
        <v>138897</v>
      </c>
      <c r="D23" s="5">
        <v>1976627629</v>
      </c>
      <c r="E23" s="4">
        <v>4765</v>
      </c>
      <c r="G23" s="4" t="s">
        <v>22</v>
      </c>
      <c r="H23" s="4">
        <v>6</v>
      </c>
      <c r="I23" s="4">
        <f>1659+1157</f>
        <v>2816</v>
      </c>
      <c r="J23" s="4">
        <f>46421800+25575536</f>
        <v>71997336</v>
      </c>
      <c r="K23" s="4">
        <v>8575</v>
      </c>
      <c r="L23" s="16"/>
      <c r="M23" s="16"/>
    </row>
    <row r="24" spans="1:13" x14ac:dyDescent="0.2">
      <c r="A24" s="4" t="s">
        <v>23</v>
      </c>
      <c r="B24" s="4">
        <v>157</v>
      </c>
      <c r="C24" s="5">
        <v>106219</v>
      </c>
      <c r="D24" s="5">
        <v>1617701099</v>
      </c>
      <c r="E24" s="4">
        <v>5057</v>
      </c>
      <c r="L24" s="16"/>
      <c r="M24" s="16"/>
    </row>
    <row r="25" spans="1:13" x14ac:dyDescent="0.2">
      <c r="A25" s="4" t="s">
        <v>57</v>
      </c>
      <c r="B25" s="4">
        <v>85</v>
      </c>
      <c r="C25" s="5">
        <v>220116</v>
      </c>
      <c r="D25" s="5">
        <v>3281000291</v>
      </c>
      <c r="E25" s="4">
        <v>5032</v>
      </c>
      <c r="L25" s="16"/>
      <c r="M25" s="16"/>
    </row>
    <row r="29" spans="1:13" x14ac:dyDescent="0.2">
      <c r="A29" s="9" t="s">
        <v>25</v>
      </c>
      <c r="B29" s="9"/>
      <c r="C29" s="9"/>
      <c r="D29" s="9"/>
      <c r="E29" s="9"/>
      <c r="F29" s="10"/>
      <c r="G29" s="9" t="s">
        <v>26</v>
      </c>
      <c r="H29" s="9"/>
      <c r="I29" s="9"/>
      <c r="J29" s="9"/>
      <c r="K29" s="9"/>
    </row>
    <row r="30" spans="1:13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3" x14ac:dyDescent="0.2">
      <c r="A31" s="12"/>
      <c r="B31" s="12"/>
      <c r="C31" s="12"/>
      <c r="D31" s="12" t="s">
        <v>2</v>
      </c>
      <c r="E31" s="12" t="s">
        <v>3</v>
      </c>
      <c r="F31" s="10"/>
      <c r="G31" s="12"/>
      <c r="H31" s="12"/>
      <c r="I31" s="12"/>
      <c r="J31" s="12" t="s">
        <v>2</v>
      </c>
      <c r="K31" s="12" t="s">
        <v>3</v>
      </c>
    </row>
    <row r="32" spans="1:13" x14ac:dyDescent="0.2">
      <c r="A32" s="13" t="s">
        <v>4</v>
      </c>
      <c r="B32" s="12" t="s">
        <v>5</v>
      </c>
      <c r="C32" s="12" t="s">
        <v>6</v>
      </c>
      <c r="D32" s="12" t="s">
        <v>7</v>
      </c>
      <c r="E32" s="12" t="s">
        <v>8</v>
      </c>
      <c r="F32" s="10"/>
      <c r="G32" s="13" t="s">
        <v>4</v>
      </c>
      <c r="H32" s="12" t="s">
        <v>5</v>
      </c>
      <c r="I32" s="12" t="s">
        <v>6</v>
      </c>
      <c r="J32" s="12" t="s">
        <v>7</v>
      </c>
      <c r="K32" s="12" t="s">
        <v>8</v>
      </c>
    </row>
    <row r="33" spans="1:12" x14ac:dyDescent="0.2">
      <c r="A33" s="13" t="s">
        <v>9</v>
      </c>
      <c r="B33" s="12" t="s">
        <v>10</v>
      </c>
      <c r="C33" s="12" t="s">
        <v>11</v>
      </c>
      <c r="D33" s="12" t="s">
        <v>12</v>
      </c>
      <c r="E33" s="12" t="s">
        <v>13</v>
      </c>
      <c r="F33" s="10"/>
      <c r="G33" s="13" t="s">
        <v>9</v>
      </c>
      <c r="H33" s="12" t="s">
        <v>10</v>
      </c>
      <c r="I33" s="12" t="s">
        <v>11</v>
      </c>
      <c r="J33" s="12" t="s">
        <v>12</v>
      </c>
      <c r="K33" s="12" t="s">
        <v>13</v>
      </c>
    </row>
    <row r="36" spans="1:12" s="11" customFormat="1" x14ac:dyDescent="0.2">
      <c r="A36" s="17" t="s">
        <v>27</v>
      </c>
      <c r="B36" s="17">
        <f>SUM(B38:B46)</f>
        <v>237</v>
      </c>
      <c r="C36" s="17">
        <f>SUM(C38:C46)</f>
        <v>3902</v>
      </c>
      <c r="D36" s="18">
        <f>SUM(D38:D44)</f>
        <v>103254808</v>
      </c>
      <c r="E36" s="18">
        <f>26777/3</f>
        <v>8925.6666666666661</v>
      </c>
      <c r="F36" s="17"/>
      <c r="G36" s="17" t="s">
        <v>14</v>
      </c>
      <c r="H36" s="17">
        <f>SUM(H38:H47)</f>
        <v>11854</v>
      </c>
      <c r="I36" s="17">
        <f>SUM(I38:I47)</f>
        <v>104352</v>
      </c>
      <c r="J36" s="18">
        <f>SUM(J38:J46)</f>
        <v>1309097094</v>
      </c>
      <c r="K36" s="19">
        <f>12766/3</f>
        <v>4255.333333333333</v>
      </c>
      <c r="L36" s="17"/>
    </row>
    <row r="37" spans="1:12" x14ac:dyDescent="0.2">
      <c r="A37" s="16" t="s">
        <v>28</v>
      </c>
      <c r="B37" s="16" t="s">
        <v>28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2">
      <c r="A38" s="16" t="s">
        <v>15</v>
      </c>
      <c r="B38" s="16">
        <v>18</v>
      </c>
      <c r="C38" s="16">
        <v>0</v>
      </c>
      <c r="D38" s="16">
        <v>25955</v>
      </c>
      <c r="E38" s="16">
        <f>15573/3</f>
        <v>5191</v>
      </c>
      <c r="F38" s="16"/>
      <c r="G38" s="16" t="s">
        <v>15</v>
      </c>
      <c r="H38" s="16">
        <v>1713</v>
      </c>
      <c r="I38" s="16">
        <v>0</v>
      </c>
      <c r="J38" s="16">
        <v>7079075</v>
      </c>
      <c r="K38" s="16">
        <f>10930/3</f>
        <v>3643.3333333333335</v>
      </c>
      <c r="L38" s="16"/>
    </row>
    <row r="39" spans="1:12" x14ac:dyDescent="0.2">
      <c r="A39" s="16" t="s">
        <v>16</v>
      </c>
      <c r="B39" s="16">
        <v>116</v>
      </c>
      <c r="C39" s="16">
        <v>233</v>
      </c>
      <c r="D39" s="16">
        <v>3911828</v>
      </c>
      <c r="E39" s="16">
        <f>16765/3</f>
        <v>5588.333333333333</v>
      </c>
      <c r="F39" s="16"/>
      <c r="G39" s="16" t="s">
        <v>16</v>
      </c>
      <c r="H39" s="16">
        <v>5831</v>
      </c>
      <c r="I39" s="16">
        <v>11913</v>
      </c>
      <c r="J39" s="16">
        <v>107499279</v>
      </c>
      <c r="K39" s="16">
        <f>9239/3</f>
        <v>3079.6666666666665</v>
      </c>
      <c r="L39" s="16"/>
    </row>
    <row r="40" spans="1:12" x14ac:dyDescent="0.2">
      <c r="A40" s="16" t="s">
        <v>17</v>
      </c>
      <c r="B40" s="16">
        <v>34</v>
      </c>
      <c r="C40" s="16">
        <v>222</v>
      </c>
      <c r="D40" s="16">
        <v>4467672</v>
      </c>
      <c r="E40" s="16">
        <f>20525/3</f>
        <v>6841.666666666667</v>
      </c>
      <c r="F40" s="16"/>
      <c r="G40" s="16" t="s">
        <v>17</v>
      </c>
      <c r="H40" s="16">
        <v>2004</v>
      </c>
      <c r="I40" s="16">
        <v>13246</v>
      </c>
      <c r="J40" s="16">
        <v>121777916</v>
      </c>
      <c r="K40" s="16">
        <f>9482/3</f>
        <v>3160.6666666666665</v>
      </c>
      <c r="L40" s="16"/>
    </row>
    <row r="41" spans="1:12" x14ac:dyDescent="0.2">
      <c r="A41" s="20" t="s">
        <v>56</v>
      </c>
      <c r="B41" s="16">
        <v>30</v>
      </c>
      <c r="C41" s="16">
        <v>417</v>
      </c>
      <c r="D41" s="16">
        <v>9854435</v>
      </c>
      <c r="E41" s="16">
        <f>24843/3</f>
        <v>8281</v>
      </c>
      <c r="F41" s="16"/>
      <c r="G41" s="20" t="s">
        <v>56</v>
      </c>
      <c r="H41" s="16">
        <v>1209</v>
      </c>
      <c r="I41" s="16">
        <v>16246</v>
      </c>
      <c r="J41" s="16">
        <v>167767678</v>
      </c>
      <c r="K41" s="16">
        <f>10522/3</f>
        <v>3507.3333333333335</v>
      </c>
      <c r="L41" s="16"/>
    </row>
    <row r="42" spans="1:12" x14ac:dyDescent="0.2">
      <c r="A42" s="16" t="s">
        <v>18</v>
      </c>
      <c r="B42" s="16">
        <v>21</v>
      </c>
      <c r="C42" s="16">
        <v>606</v>
      </c>
      <c r="D42" s="16">
        <v>17785032</v>
      </c>
      <c r="E42" s="16">
        <f>30629/3</f>
        <v>10209.666666666666</v>
      </c>
      <c r="F42" s="16"/>
      <c r="G42" s="16" t="s">
        <v>18</v>
      </c>
      <c r="H42" s="16">
        <v>787</v>
      </c>
      <c r="I42" s="16">
        <v>23701</v>
      </c>
      <c r="J42" s="16">
        <v>283063713</v>
      </c>
      <c r="K42" s="16">
        <f>12194/3</f>
        <v>4064.6666666666665</v>
      </c>
      <c r="L42" s="16"/>
    </row>
    <row r="43" spans="1:12" x14ac:dyDescent="0.2">
      <c r="A43" s="16" t="s">
        <v>19</v>
      </c>
      <c r="B43" s="16">
        <v>11</v>
      </c>
      <c r="C43" s="16">
        <v>770</v>
      </c>
      <c r="D43" s="16">
        <v>31442920</v>
      </c>
      <c r="E43" s="16">
        <f>40537/3</f>
        <v>13512.333333333334</v>
      </c>
      <c r="F43" s="16"/>
      <c r="G43" s="16" t="s">
        <v>19</v>
      </c>
      <c r="H43" s="16">
        <v>209</v>
      </c>
      <c r="I43" s="16">
        <v>14133</v>
      </c>
      <c r="J43" s="16">
        <v>217157755</v>
      </c>
      <c r="K43" s="16">
        <f>15829/3</f>
        <v>5276.333333333333</v>
      </c>
      <c r="L43" s="16"/>
    </row>
    <row r="44" spans="1:12" x14ac:dyDescent="0.2">
      <c r="A44" s="16" t="s">
        <v>38</v>
      </c>
      <c r="B44" s="16">
        <f>5+1+1</f>
        <v>7</v>
      </c>
      <c r="C44" s="16">
        <f>770+382+502</f>
        <v>1654</v>
      </c>
      <c r="D44" s="16">
        <f>15776039+9693901+10297026</f>
        <v>35766966</v>
      </c>
      <c r="E44" s="16">
        <v>7224</v>
      </c>
      <c r="F44" s="16"/>
      <c r="G44" s="16" t="s">
        <v>20</v>
      </c>
      <c r="H44" s="16">
        <v>75</v>
      </c>
      <c r="I44" s="16">
        <v>10822</v>
      </c>
      <c r="J44" s="16">
        <v>170599979</v>
      </c>
      <c r="K44" s="16">
        <f>16289/3</f>
        <v>5429.666666666667</v>
      </c>
      <c r="L44" s="16"/>
    </row>
    <row r="45" spans="1:12" x14ac:dyDescent="0.2">
      <c r="A45" s="16"/>
      <c r="B45" s="21" t="s">
        <v>28</v>
      </c>
      <c r="C45" s="16"/>
      <c r="D45" s="16"/>
      <c r="E45" s="16"/>
      <c r="F45" s="16"/>
      <c r="G45" s="16" t="s">
        <v>21</v>
      </c>
      <c r="H45" s="16">
        <v>20</v>
      </c>
      <c r="I45" s="16">
        <v>6516</v>
      </c>
      <c r="J45" s="16">
        <v>112531595</v>
      </c>
      <c r="K45" s="21">
        <f>17578/3</f>
        <v>5859.333333333333</v>
      </c>
      <c r="L45" s="16"/>
    </row>
    <row r="46" spans="1:12" x14ac:dyDescent="0.2">
      <c r="A46" s="16"/>
      <c r="B46" s="16"/>
      <c r="C46" s="16"/>
      <c r="D46" s="16"/>
      <c r="E46" s="16"/>
      <c r="F46" s="16"/>
      <c r="G46" s="22" t="s">
        <v>31</v>
      </c>
      <c r="H46" s="16">
        <f>4+2</f>
        <v>6</v>
      </c>
      <c r="I46" s="16">
        <f>2902+4873</f>
        <v>7775</v>
      </c>
      <c r="J46" s="16">
        <f>81641855+39978249</f>
        <v>121620104</v>
      </c>
      <c r="K46" s="23">
        <v>5287</v>
      </c>
      <c r="L46" s="16"/>
    </row>
    <row r="47" spans="1:12" x14ac:dyDescent="0.2">
      <c r="A47" s="16"/>
      <c r="B47" s="16"/>
      <c r="C47" s="16"/>
      <c r="D47" s="16"/>
      <c r="E47" s="16"/>
      <c r="F47" s="16"/>
      <c r="H47" s="16"/>
      <c r="I47" s="16" t="s">
        <v>28</v>
      </c>
      <c r="J47" s="16"/>
      <c r="K47" s="16"/>
      <c r="L47" s="16"/>
    </row>
    <row r="48" spans="1:12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50" spans="1:11" x14ac:dyDescent="0.2">
      <c r="A50" s="24" t="s">
        <v>64</v>
      </c>
      <c r="B50" s="25"/>
      <c r="C50" s="25"/>
      <c r="D50" s="25"/>
      <c r="E50" s="25"/>
      <c r="F50" s="25"/>
      <c r="G50" s="25"/>
      <c r="H50" s="25"/>
      <c r="I50" s="25"/>
    </row>
    <row r="54" spans="1:11" x14ac:dyDescent="0.2">
      <c r="D54" s="24"/>
      <c r="E54" s="25"/>
      <c r="F54" s="25"/>
      <c r="G54" s="25"/>
      <c r="H54" s="25"/>
    </row>
    <row r="55" spans="1:11" x14ac:dyDescent="0.2">
      <c r="D55" s="26"/>
      <c r="E55" s="27"/>
      <c r="F55" s="27"/>
      <c r="G55" s="27"/>
      <c r="H55" s="27"/>
    </row>
    <row r="56" spans="1:11" x14ac:dyDescent="0.2">
      <c r="A56" s="28" t="s">
        <v>68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7" spans="1:11" x14ac:dyDescent="0.2">
      <c r="A57" s="28" t="s">
        <v>62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1:1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x14ac:dyDescent="0.2">
      <c r="A59" s="9" t="s">
        <v>29</v>
      </c>
      <c r="B59" s="9"/>
      <c r="C59" s="9"/>
      <c r="D59" s="9"/>
      <c r="E59" s="9"/>
      <c r="F59" s="10"/>
      <c r="G59" s="9" t="s">
        <v>30</v>
      </c>
      <c r="H59" s="9"/>
      <c r="I59" s="9"/>
      <c r="J59" s="9"/>
      <c r="K59" s="9"/>
    </row>
    <row r="60" spans="1:1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x14ac:dyDescent="0.2">
      <c r="A61" s="12"/>
      <c r="B61" s="12"/>
      <c r="C61" s="12"/>
      <c r="D61" s="12" t="s">
        <v>2</v>
      </c>
      <c r="E61" s="12" t="s">
        <v>3</v>
      </c>
      <c r="F61" s="10"/>
      <c r="G61" s="12"/>
      <c r="H61" s="12"/>
      <c r="I61" s="12"/>
      <c r="J61" s="12" t="s">
        <v>2</v>
      </c>
      <c r="K61" s="12" t="s">
        <v>3</v>
      </c>
    </row>
    <row r="62" spans="1:11" x14ac:dyDescent="0.2">
      <c r="A62" s="13" t="s">
        <v>4</v>
      </c>
      <c r="B62" s="12" t="s">
        <v>5</v>
      </c>
      <c r="C62" s="12" t="s">
        <v>6</v>
      </c>
      <c r="D62" s="12" t="s">
        <v>7</v>
      </c>
      <c r="E62" s="12" t="s">
        <v>8</v>
      </c>
      <c r="F62" s="10"/>
      <c r="G62" s="13" t="s">
        <v>4</v>
      </c>
      <c r="H62" s="12" t="s">
        <v>5</v>
      </c>
      <c r="I62" s="12" t="s">
        <v>6</v>
      </c>
      <c r="J62" s="12" t="s">
        <v>7</v>
      </c>
      <c r="K62" s="12" t="s">
        <v>8</v>
      </c>
    </row>
    <row r="63" spans="1:11" x14ac:dyDescent="0.2">
      <c r="A63" s="13" t="s">
        <v>9</v>
      </c>
      <c r="B63" s="12" t="s">
        <v>10</v>
      </c>
      <c r="C63" s="12" t="s">
        <v>11</v>
      </c>
      <c r="D63" s="12" t="s">
        <v>12</v>
      </c>
      <c r="E63" s="12" t="s">
        <v>13</v>
      </c>
      <c r="F63" s="10"/>
      <c r="G63" s="13" t="s">
        <v>9</v>
      </c>
      <c r="H63" s="12" t="s">
        <v>10</v>
      </c>
      <c r="I63" s="12" t="s">
        <v>11</v>
      </c>
      <c r="J63" s="12" t="s">
        <v>12</v>
      </c>
      <c r="K63" s="12" t="s">
        <v>13</v>
      </c>
    </row>
    <row r="66" spans="1:14" s="11" customFormat="1" x14ac:dyDescent="0.2">
      <c r="A66" s="11" t="s">
        <v>14</v>
      </c>
      <c r="B66" s="11">
        <f>SUM(B67:B77)</f>
        <v>4491</v>
      </c>
      <c r="C66" s="11">
        <f>SUM(C67:C77)</f>
        <v>135982</v>
      </c>
      <c r="D66" s="29">
        <f>SUM( D68:D77)</f>
        <v>2083618583</v>
      </c>
      <c r="E66" s="15">
        <f>15374/3</f>
        <v>5124.666666666667</v>
      </c>
      <c r="G66" s="11" t="s">
        <v>27</v>
      </c>
      <c r="H66" s="11">
        <f>SUM(H67:H77)</f>
        <v>16742</v>
      </c>
      <c r="I66" s="11">
        <f>SUM(I67:I77)</f>
        <v>223427</v>
      </c>
      <c r="J66" s="29">
        <f>SUM(J68:J77)</f>
        <v>2458426061</v>
      </c>
      <c r="K66" s="29">
        <f>10108/3</f>
        <v>3369.3333333333335</v>
      </c>
    </row>
    <row r="67" spans="1:14" x14ac:dyDescent="0.2">
      <c r="G67" s="4" t="s">
        <v>28</v>
      </c>
    </row>
    <row r="68" spans="1:14" x14ac:dyDescent="0.2">
      <c r="A68" s="16" t="s">
        <v>15</v>
      </c>
      <c r="B68" s="16">
        <v>394</v>
      </c>
      <c r="C68" s="16">
        <v>0</v>
      </c>
      <c r="D68" s="16">
        <v>2410004</v>
      </c>
      <c r="E68" s="16">
        <f>11990/3</f>
        <v>3996.6666666666665</v>
      </c>
      <c r="F68" s="16"/>
      <c r="G68" s="16" t="s">
        <v>15</v>
      </c>
      <c r="H68" s="16">
        <f t="shared" ref="H68:J77" si="2">+B89+H89</f>
        <v>2117</v>
      </c>
      <c r="I68" s="16">
        <f t="shared" si="2"/>
        <v>0</v>
      </c>
      <c r="J68" s="16">
        <f t="shared" si="2"/>
        <v>7167795</v>
      </c>
      <c r="K68" s="16">
        <f>14077/3</f>
        <v>4692.333333333333</v>
      </c>
      <c r="L68" s="16"/>
    </row>
    <row r="69" spans="1:14" x14ac:dyDescent="0.2">
      <c r="A69" s="16" t="s">
        <v>16</v>
      </c>
      <c r="B69" s="16">
        <v>1703</v>
      </c>
      <c r="C69" s="16">
        <v>3343</v>
      </c>
      <c r="D69" s="16">
        <v>49338347</v>
      </c>
      <c r="E69" s="16">
        <f>14809/3</f>
        <v>4936.333333333333</v>
      </c>
      <c r="F69" s="16"/>
      <c r="G69" s="16" t="s">
        <v>16</v>
      </c>
      <c r="H69" s="16">
        <f t="shared" si="2"/>
        <v>6649</v>
      </c>
      <c r="I69" s="16">
        <f t="shared" si="2"/>
        <v>12902</v>
      </c>
      <c r="J69" s="16">
        <f t="shared" si="2"/>
        <v>203322751</v>
      </c>
      <c r="K69" s="16">
        <f>14748/3</f>
        <v>4916</v>
      </c>
      <c r="L69" s="16"/>
    </row>
    <row r="70" spans="1:14" x14ac:dyDescent="0.2">
      <c r="A70" s="16" t="s">
        <v>17</v>
      </c>
      <c r="B70" s="16">
        <v>717</v>
      </c>
      <c r="C70" s="16">
        <v>4781</v>
      </c>
      <c r="D70" s="16">
        <v>46734529</v>
      </c>
      <c r="E70" s="16">
        <f>9802/3</f>
        <v>3267.3333333333335</v>
      </c>
      <c r="F70" s="16"/>
      <c r="G70" s="16" t="s">
        <v>17</v>
      </c>
      <c r="H70" s="16">
        <f t="shared" si="2"/>
        <v>3155</v>
      </c>
      <c r="I70" s="16">
        <f t="shared" si="2"/>
        <v>21341</v>
      </c>
      <c r="J70" s="16">
        <f t="shared" si="2"/>
        <v>209070904</v>
      </c>
      <c r="K70" s="16">
        <f>9238/3</f>
        <v>3079.3333333333335</v>
      </c>
      <c r="L70" s="16"/>
    </row>
    <row r="71" spans="1:14" x14ac:dyDescent="0.2">
      <c r="A71" s="20" t="s">
        <v>56</v>
      </c>
      <c r="B71" s="16">
        <v>621</v>
      </c>
      <c r="C71" s="16">
        <v>8661</v>
      </c>
      <c r="D71" s="16">
        <v>93009578</v>
      </c>
      <c r="E71" s="16">
        <f>10853/3</f>
        <v>3617.6666666666665</v>
      </c>
      <c r="F71" s="16"/>
      <c r="G71" s="20" t="s">
        <v>56</v>
      </c>
      <c r="H71" s="16">
        <f t="shared" si="2"/>
        <v>2557</v>
      </c>
      <c r="I71" s="16">
        <f t="shared" si="2"/>
        <v>34444</v>
      </c>
      <c r="J71" s="16">
        <f t="shared" si="2"/>
        <v>338014774</v>
      </c>
      <c r="K71" s="16">
        <f>8964/3</f>
        <v>2988</v>
      </c>
      <c r="L71" s="16"/>
    </row>
    <row r="72" spans="1:14" x14ac:dyDescent="0.2">
      <c r="A72" s="16" t="s">
        <v>18</v>
      </c>
      <c r="B72" s="16">
        <v>562</v>
      </c>
      <c r="C72" s="16">
        <v>17558</v>
      </c>
      <c r="D72" s="16">
        <v>208784646</v>
      </c>
      <c r="E72" s="16">
        <f>12013/3</f>
        <v>4004.3333333333335</v>
      </c>
      <c r="F72" s="16"/>
      <c r="G72" s="16" t="s">
        <v>18</v>
      </c>
      <c r="H72" s="16">
        <f t="shared" si="2"/>
        <v>1417</v>
      </c>
      <c r="I72" s="16">
        <f t="shared" si="2"/>
        <v>41986</v>
      </c>
      <c r="J72" s="16">
        <f t="shared" si="2"/>
        <v>454558364</v>
      </c>
      <c r="K72" s="16">
        <f>9865/3</f>
        <v>3288.3333333333335</v>
      </c>
      <c r="L72" s="16"/>
    </row>
    <row r="73" spans="1:14" x14ac:dyDescent="0.2">
      <c r="A73" s="16" t="s">
        <v>19</v>
      </c>
      <c r="B73" s="16">
        <v>234</v>
      </c>
      <c r="C73" s="16">
        <v>16198</v>
      </c>
      <c r="D73" s="16">
        <v>215012405</v>
      </c>
      <c r="E73" s="16">
        <f>13317/3</f>
        <v>4439</v>
      </c>
      <c r="F73" s="16"/>
      <c r="G73" s="16" t="s">
        <v>19</v>
      </c>
      <c r="H73" s="16">
        <f t="shared" si="2"/>
        <v>444</v>
      </c>
      <c r="I73" s="16">
        <f t="shared" si="2"/>
        <v>30438</v>
      </c>
      <c r="J73" s="16">
        <f t="shared" si="2"/>
        <v>306415376</v>
      </c>
      <c r="K73" s="16">
        <f>9608/3</f>
        <v>3202.6666666666665</v>
      </c>
      <c r="L73" s="16"/>
    </row>
    <row r="74" spans="1:14" x14ac:dyDescent="0.2">
      <c r="A74" s="16" t="s">
        <v>20</v>
      </c>
      <c r="B74" s="16">
        <v>162</v>
      </c>
      <c r="C74" s="16">
        <v>24718</v>
      </c>
      <c r="D74" s="16">
        <v>362854045</v>
      </c>
      <c r="E74" s="16">
        <f>14679/3</f>
        <v>4893</v>
      </c>
      <c r="F74" s="16"/>
      <c r="G74" s="16" t="s">
        <v>20</v>
      </c>
      <c r="H74" s="16">
        <f>+B95+H95</f>
        <v>323</v>
      </c>
      <c r="I74" s="16">
        <f t="shared" si="2"/>
        <v>47614</v>
      </c>
      <c r="J74" s="16">
        <f t="shared" si="2"/>
        <v>487941097</v>
      </c>
      <c r="K74" s="16">
        <f>9946/3</f>
        <v>3315.3333333333335</v>
      </c>
      <c r="L74" s="16"/>
    </row>
    <row r="75" spans="1:14" x14ac:dyDescent="0.2">
      <c r="A75" s="16" t="s">
        <v>21</v>
      </c>
      <c r="B75" s="16">
        <v>62</v>
      </c>
      <c r="C75" s="16">
        <v>22481</v>
      </c>
      <c r="D75" s="16">
        <v>400476545</v>
      </c>
      <c r="E75" s="16">
        <f>17927/3</f>
        <v>5975.666666666667</v>
      </c>
      <c r="F75" s="16"/>
      <c r="G75" s="16" t="s">
        <v>21</v>
      </c>
      <c r="H75" s="16">
        <f t="shared" ref="H75:H77" si="3">+B96+H96</f>
        <v>66</v>
      </c>
      <c r="I75" s="16">
        <f t="shared" si="2"/>
        <v>21995</v>
      </c>
      <c r="J75" s="16">
        <f t="shared" si="2"/>
        <v>220367056</v>
      </c>
      <c r="K75" s="16">
        <f>9257/3</f>
        <v>3085.6666666666665</v>
      </c>
      <c r="L75" s="16"/>
      <c r="M75" s="30"/>
      <c r="N75" s="30"/>
    </row>
    <row r="76" spans="1:14" x14ac:dyDescent="0.2">
      <c r="A76" s="16" t="s">
        <v>23</v>
      </c>
      <c r="B76" s="16">
        <v>21</v>
      </c>
      <c r="C76" s="16">
        <v>14581</v>
      </c>
      <c r="D76" s="16">
        <v>251311854</v>
      </c>
      <c r="E76" s="16">
        <f>17360/3</f>
        <v>5786.666666666667</v>
      </c>
      <c r="F76" s="16"/>
      <c r="G76" s="16" t="s">
        <v>23</v>
      </c>
      <c r="H76" s="16">
        <f t="shared" si="3"/>
        <v>10</v>
      </c>
      <c r="I76" s="16">
        <f t="shared" si="2"/>
        <v>6513</v>
      </c>
      <c r="J76" s="16">
        <f t="shared" si="2"/>
        <v>106851828</v>
      </c>
      <c r="K76" s="16">
        <f>14596/3</f>
        <v>4865.333333333333</v>
      </c>
      <c r="L76" s="16"/>
      <c r="M76" s="30"/>
      <c r="N76" s="30"/>
    </row>
    <row r="77" spans="1:14" x14ac:dyDescent="0.2">
      <c r="A77" s="16" t="s">
        <v>24</v>
      </c>
      <c r="B77" s="16">
        <v>15</v>
      </c>
      <c r="C77" s="16">
        <v>23661</v>
      </c>
      <c r="D77" s="16">
        <v>453686630</v>
      </c>
      <c r="E77" s="16">
        <f>19224/3</f>
        <v>6408</v>
      </c>
      <c r="F77" s="16"/>
      <c r="G77" s="16" t="s">
        <v>24</v>
      </c>
      <c r="H77" s="16">
        <f t="shared" si="3"/>
        <v>4</v>
      </c>
      <c r="I77" s="16">
        <f t="shared" si="2"/>
        <v>6194</v>
      </c>
      <c r="J77" s="16">
        <f t="shared" si="2"/>
        <v>124716116</v>
      </c>
      <c r="K77" s="16">
        <f>15120/3</f>
        <v>5040</v>
      </c>
      <c r="L77" s="16"/>
    </row>
    <row r="78" spans="1:14" x14ac:dyDescent="0.2">
      <c r="G78" s="16"/>
      <c r="H78" s="16"/>
      <c r="I78" s="16"/>
      <c r="J78" s="16"/>
      <c r="K78" s="16"/>
    </row>
    <row r="80" spans="1:14" x14ac:dyDescent="0.2">
      <c r="A80" s="9" t="s">
        <v>32</v>
      </c>
      <c r="B80" s="9"/>
      <c r="C80" s="9"/>
      <c r="D80" s="9"/>
      <c r="E80" s="9"/>
      <c r="F80" s="10"/>
      <c r="G80" s="9" t="s">
        <v>33</v>
      </c>
      <c r="H80" s="9"/>
      <c r="I80" s="9"/>
      <c r="J80" s="9"/>
      <c r="K80" s="9"/>
    </row>
    <row r="81" spans="1:12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2" x14ac:dyDescent="0.2">
      <c r="A82" s="12"/>
      <c r="B82" s="12"/>
      <c r="C82" s="12"/>
      <c r="D82" s="12" t="s">
        <v>2</v>
      </c>
      <c r="E82" s="12" t="s">
        <v>3</v>
      </c>
      <c r="F82" s="10"/>
      <c r="G82" s="12"/>
      <c r="H82" s="12"/>
      <c r="I82" s="12"/>
      <c r="J82" s="12" t="s">
        <v>2</v>
      </c>
      <c r="K82" s="12" t="s">
        <v>3</v>
      </c>
    </row>
    <row r="83" spans="1:12" x14ac:dyDescent="0.2">
      <c r="A83" s="13" t="s">
        <v>4</v>
      </c>
      <c r="B83" s="12" t="s">
        <v>5</v>
      </c>
      <c r="C83" s="12" t="s">
        <v>6</v>
      </c>
      <c r="D83" s="12" t="s">
        <v>7</v>
      </c>
      <c r="E83" s="12" t="s">
        <v>8</v>
      </c>
      <c r="F83" s="10"/>
      <c r="G83" s="13" t="s">
        <v>4</v>
      </c>
      <c r="H83" s="12" t="s">
        <v>5</v>
      </c>
      <c r="I83" s="12" t="s">
        <v>6</v>
      </c>
      <c r="J83" s="12" t="s">
        <v>7</v>
      </c>
      <c r="K83" s="12" t="s">
        <v>8</v>
      </c>
    </row>
    <row r="84" spans="1:12" x14ac:dyDescent="0.2">
      <c r="A84" s="13" t="s">
        <v>9</v>
      </c>
      <c r="B84" s="12" t="s">
        <v>10</v>
      </c>
      <c r="C84" s="12" t="s">
        <v>11</v>
      </c>
      <c r="D84" s="12" t="s">
        <v>12</v>
      </c>
      <c r="E84" s="12" t="s">
        <v>13</v>
      </c>
      <c r="F84" s="10"/>
      <c r="G84" s="13" t="s">
        <v>9</v>
      </c>
      <c r="H84" s="12" t="s">
        <v>10</v>
      </c>
      <c r="I84" s="12" t="s">
        <v>11</v>
      </c>
      <c r="J84" s="12" t="s">
        <v>12</v>
      </c>
      <c r="K84" s="12" t="s">
        <v>13</v>
      </c>
    </row>
    <row r="87" spans="1:12" s="11" customFormat="1" x14ac:dyDescent="0.2">
      <c r="A87" s="11" t="s">
        <v>27</v>
      </c>
      <c r="B87" s="11">
        <f>SUM(B89:B97)</f>
        <v>6140</v>
      </c>
      <c r="C87" s="11">
        <f>SUM(C89:C97)</f>
        <v>51621</v>
      </c>
      <c r="D87" s="29">
        <f>SUM(D89:D97)</f>
        <v>966132232</v>
      </c>
      <c r="E87" s="15">
        <f>18761/3</f>
        <v>6253.666666666667</v>
      </c>
      <c r="G87" s="11" t="s">
        <v>27</v>
      </c>
      <c r="H87" s="11">
        <f>SUM(H89:H98)</f>
        <v>10602</v>
      </c>
      <c r="I87" s="11">
        <f>SUM(I89:I98)</f>
        <v>171806</v>
      </c>
      <c r="J87" s="29">
        <f>SUM(J89:J98)</f>
        <v>1492293829</v>
      </c>
      <c r="K87" s="29">
        <f>8683/3</f>
        <v>2894.3333333333335</v>
      </c>
    </row>
    <row r="88" spans="1:12" x14ac:dyDescent="0.2">
      <c r="A88" s="4" t="s">
        <v>28</v>
      </c>
      <c r="G88" s="4" t="s">
        <v>28</v>
      </c>
    </row>
    <row r="89" spans="1:12" x14ac:dyDescent="0.2">
      <c r="A89" s="16" t="s">
        <v>15</v>
      </c>
      <c r="B89" s="16">
        <v>650</v>
      </c>
      <c r="C89" s="16">
        <v>0</v>
      </c>
      <c r="D89" s="16">
        <v>4009730</v>
      </c>
      <c r="E89" s="16">
        <f>21141/3</f>
        <v>7047</v>
      </c>
      <c r="F89" s="16"/>
      <c r="G89" s="16" t="s">
        <v>15</v>
      </c>
      <c r="H89" s="16">
        <v>1467</v>
      </c>
      <c r="I89" s="16">
        <v>0</v>
      </c>
      <c r="J89" s="16">
        <v>3158065</v>
      </c>
      <c r="K89" s="16">
        <f>7823/3</f>
        <v>2607.6666666666665</v>
      </c>
      <c r="L89" s="16"/>
    </row>
    <row r="90" spans="1:12" x14ac:dyDescent="0.2">
      <c r="A90" s="16" t="s">
        <v>16</v>
      </c>
      <c r="B90" s="16">
        <v>3458</v>
      </c>
      <c r="C90" s="16">
        <v>5929</v>
      </c>
      <c r="D90" s="16">
        <v>139505420</v>
      </c>
      <c r="E90" s="16">
        <f>23760/3</f>
        <v>7920</v>
      </c>
      <c r="F90" s="16"/>
      <c r="G90" s="16" t="s">
        <v>16</v>
      </c>
      <c r="H90" s="16">
        <v>3191</v>
      </c>
      <c r="I90" s="16">
        <v>6973</v>
      </c>
      <c r="J90" s="16">
        <v>63817331</v>
      </c>
      <c r="K90" s="16">
        <f>9092/3</f>
        <v>3030.6666666666665</v>
      </c>
      <c r="L90" s="16"/>
    </row>
    <row r="91" spans="1:12" x14ac:dyDescent="0.2">
      <c r="A91" s="16" t="s">
        <v>17</v>
      </c>
      <c r="B91" s="16">
        <v>841</v>
      </c>
      <c r="C91" s="16">
        <v>5529</v>
      </c>
      <c r="D91" s="16">
        <v>101933700</v>
      </c>
      <c r="E91" s="16">
        <f>18547/3</f>
        <v>6182.333333333333</v>
      </c>
      <c r="F91" s="16"/>
      <c r="G91" s="16" t="s">
        <v>17</v>
      </c>
      <c r="H91" s="16">
        <v>2314</v>
      </c>
      <c r="I91" s="16">
        <v>15812</v>
      </c>
      <c r="J91" s="16">
        <v>107137204</v>
      </c>
      <c r="K91" s="16">
        <f>6809/3</f>
        <v>2269.6666666666665</v>
      </c>
      <c r="L91" s="16"/>
    </row>
    <row r="92" spans="1:12" x14ac:dyDescent="0.2">
      <c r="A92" s="20" t="s">
        <v>56</v>
      </c>
      <c r="B92" s="16">
        <v>621</v>
      </c>
      <c r="C92" s="16">
        <v>8374</v>
      </c>
      <c r="D92" s="16">
        <v>146830814</v>
      </c>
      <c r="E92" s="16">
        <f>17704/3</f>
        <v>5901.333333333333</v>
      </c>
      <c r="F92" s="16"/>
      <c r="G92" s="20" t="s">
        <v>56</v>
      </c>
      <c r="H92" s="16">
        <v>1936</v>
      </c>
      <c r="I92" s="16">
        <v>26070</v>
      </c>
      <c r="J92" s="16">
        <v>191183960</v>
      </c>
      <c r="K92" s="16">
        <f>7409/3</f>
        <v>2469.6666666666665</v>
      </c>
      <c r="L92" s="16"/>
    </row>
    <row r="93" spans="1:12" x14ac:dyDescent="0.2">
      <c r="A93" s="16" t="s">
        <v>18</v>
      </c>
      <c r="B93" s="16">
        <v>399</v>
      </c>
      <c r="C93" s="16">
        <v>11921</v>
      </c>
      <c r="D93" s="16">
        <v>236236482</v>
      </c>
      <c r="E93" s="16">
        <f>20030/3</f>
        <v>6676.666666666667</v>
      </c>
      <c r="F93" s="16"/>
      <c r="G93" s="16" t="s">
        <v>18</v>
      </c>
      <c r="H93" s="16">
        <v>1018</v>
      </c>
      <c r="I93" s="16">
        <v>30065</v>
      </c>
      <c r="J93" s="16">
        <v>218321882</v>
      </c>
      <c r="K93" s="16">
        <f>7268/3</f>
        <v>2422.6666666666665</v>
      </c>
      <c r="L93" s="16"/>
    </row>
    <row r="94" spans="1:12" x14ac:dyDescent="0.2">
      <c r="A94" s="16" t="s">
        <v>19</v>
      </c>
      <c r="B94" s="16">
        <v>108</v>
      </c>
      <c r="C94" s="16">
        <v>7240</v>
      </c>
      <c r="D94" s="16">
        <v>114375660</v>
      </c>
      <c r="E94" s="16">
        <f>15831/3</f>
        <v>5277</v>
      </c>
      <c r="F94" s="16"/>
      <c r="G94" s="16" t="s">
        <v>19</v>
      </c>
      <c r="H94" s="16">
        <v>336</v>
      </c>
      <c r="I94" s="16">
        <v>23198</v>
      </c>
      <c r="J94" s="16">
        <v>192039716</v>
      </c>
      <c r="K94" s="16">
        <f>8267/3</f>
        <v>2755.6666666666665</v>
      </c>
      <c r="L94" s="16"/>
    </row>
    <row r="95" spans="1:12" x14ac:dyDescent="0.2">
      <c r="A95" s="16" t="s">
        <v>20</v>
      </c>
      <c r="B95" s="16">
        <v>52</v>
      </c>
      <c r="C95" s="16">
        <v>7239</v>
      </c>
      <c r="D95" s="16">
        <v>112974074</v>
      </c>
      <c r="E95" s="16">
        <f>15676/3</f>
        <v>5225.333333333333</v>
      </c>
      <c r="F95" s="16"/>
      <c r="G95" s="16" t="s">
        <v>20</v>
      </c>
      <c r="H95" s="16">
        <v>271</v>
      </c>
      <c r="I95" s="16">
        <v>40375</v>
      </c>
      <c r="J95" s="16">
        <v>374967023</v>
      </c>
      <c r="K95" s="16">
        <f>9311/3</f>
        <v>3103.6666666666665</v>
      </c>
      <c r="L95" s="16"/>
    </row>
    <row r="96" spans="1:12" x14ac:dyDescent="0.2">
      <c r="A96" s="16" t="s">
        <v>21</v>
      </c>
      <c r="B96" s="16">
        <v>7</v>
      </c>
      <c r="C96" s="16">
        <v>2609</v>
      </c>
      <c r="D96" s="16">
        <v>46574864</v>
      </c>
      <c r="E96" s="16">
        <f>17657/3</f>
        <v>5885.666666666667</v>
      </c>
      <c r="F96" s="16"/>
      <c r="G96" s="16" t="s">
        <v>21</v>
      </c>
      <c r="H96" s="16">
        <v>59</v>
      </c>
      <c r="I96" s="16">
        <v>19386</v>
      </c>
      <c r="J96" s="16">
        <v>173792192</v>
      </c>
      <c r="K96" s="21">
        <f>8952/3</f>
        <v>2984</v>
      </c>
      <c r="L96" s="16"/>
    </row>
    <row r="97" spans="1:12" x14ac:dyDescent="0.2">
      <c r="A97" s="16" t="s">
        <v>31</v>
      </c>
      <c r="B97" s="16">
        <v>4</v>
      </c>
      <c r="C97" s="16">
        <v>2780</v>
      </c>
      <c r="D97" s="16">
        <v>63691488</v>
      </c>
      <c r="E97" s="16">
        <f>22877/3</f>
        <v>7625.666666666667</v>
      </c>
      <c r="F97" s="16"/>
      <c r="G97" s="16" t="s">
        <v>23</v>
      </c>
      <c r="H97" s="16">
        <v>6</v>
      </c>
      <c r="I97" s="16">
        <v>3733</v>
      </c>
      <c r="J97" s="16">
        <v>43160340</v>
      </c>
      <c r="K97" s="21">
        <f>11337/3</f>
        <v>3779</v>
      </c>
      <c r="L97" s="16"/>
    </row>
    <row r="98" spans="1:12" x14ac:dyDescent="0.2">
      <c r="A98" s="16" t="s">
        <v>24</v>
      </c>
      <c r="B98" s="16"/>
      <c r="C98" s="16"/>
      <c r="D98" s="16"/>
      <c r="G98" s="16" t="s">
        <v>24</v>
      </c>
      <c r="H98" s="4">
        <v>4</v>
      </c>
      <c r="I98" s="4">
        <v>6194</v>
      </c>
      <c r="J98" s="4">
        <v>124716116</v>
      </c>
      <c r="K98" s="31">
        <f>20271/3</f>
        <v>6757</v>
      </c>
    </row>
    <row r="99" spans="1:12" x14ac:dyDescent="0.2">
      <c r="A99" s="16"/>
      <c r="B99" s="16"/>
      <c r="C99" s="16"/>
      <c r="D99" s="16"/>
      <c r="K99" s="31"/>
    </row>
    <row r="100" spans="1:12" x14ac:dyDescent="0.2">
      <c r="A100" s="24" t="s">
        <v>64</v>
      </c>
      <c r="B100" s="25"/>
      <c r="C100" s="25"/>
      <c r="D100" s="25"/>
      <c r="E100" s="25"/>
      <c r="F100" s="25"/>
      <c r="G100" s="25"/>
      <c r="H100" s="25"/>
      <c r="I100" s="25"/>
    </row>
    <row r="101" spans="1:12" x14ac:dyDescent="0.2">
      <c r="A101" s="24"/>
      <c r="B101" s="25"/>
      <c r="C101" s="25"/>
      <c r="D101" s="25"/>
      <c r="E101" s="25"/>
      <c r="F101" s="25"/>
      <c r="G101" s="25"/>
      <c r="H101" s="25"/>
      <c r="I101" s="25"/>
    </row>
    <row r="103" spans="1:12" x14ac:dyDescent="0.2">
      <c r="D103" s="24"/>
      <c r="E103" s="24"/>
      <c r="F103" s="24"/>
      <c r="G103" s="24"/>
      <c r="H103" s="24"/>
    </row>
    <row r="104" spans="1:12" x14ac:dyDescent="0.2">
      <c r="A104" s="28" t="s">
        <v>68</v>
      </c>
      <c r="B104" s="32"/>
      <c r="C104" s="32"/>
      <c r="D104" s="32"/>
      <c r="E104" s="32"/>
      <c r="F104" s="32"/>
      <c r="G104" s="32"/>
      <c r="H104" s="32"/>
      <c r="I104" s="32"/>
      <c r="J104" s="32"/>
      <c r="K104" s="32"/>
    </row>
    <row r="105" spans="1:12" x14ac:dyDescent="0.2">
      <c r="A105" s="28" t="s">
        <v>66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</row>
    <row r="106" spans="1:12" x14ac:dyDescent="0.2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</row>
    <row r="107" spans="1:12" x14ac:dyDescent="0.2">
      <c r="A107" s="9" t="s">
        <v>34</v>
      </c>
      <c r="B107" s="9"/>
      <c r="C107" s="9"/>
      <c r="D107" s="9"/>
      <c r="E107" s="9"/>
      <c r="F107" s="10"/>
      <c r="G107" s="9" t="s">
        <v>35</v>
      </c>
      <c r="H107" s="9"/>
      <c r="I107" s="9"/>
      <c r="J107" s="9"/>
      <c r="K107" s="9"/>
    </row>
    <row r="108" spans="1:12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2" x14ac:dyDescent="0.2">
      <c r="A109" s="12"/>
      <c r="B109" s="12"/>
      <c r="C109" s="12"/>
      <c r="D109" s="12" t="s">
        <v>2</v>
      </c>
      <c r="E109" s="12" t="s">
        <v>3</v>
      </c>
      <c r="F109" s="10"/>
      <c r="G109" s="12"/>
      <c r="H109" s="12"/>
      <c r="I109" s="12"/>
      <c r="J109" s="12" t="s">
        <v>2</v>
      </c>
      <c r="K109" s="12" t="s">
        <v>3</v>
      </c>
    </row>
    <row r="110" spans="1:12" x14ac:dyDescent="0.2">
      <c r="A110" s="13" t="s">
        <v>4</v>
      </c>
      <c r="B110" s="12" t="s">
        <v>5</v>
      </c>
      <c r="C110" s="12" t="s">
        <v>6</v>
      </c>
      <c r="D110" s="12" t="s">
        <v>7</v>
      </c>
      <c r="E110" s="12" t="s">
        <v>8</v>
      </c>
      <c r="F110" s="10"/>
      <c r="G110" s="13" t="s">
        <v>4</v>
      </c>
      <c r="H110" s="12" t="s">
        <v>5</v>
      </c>
      <c r="I110" s="12" t="s">
        <v>6</v>
      </c>
      <c r="J110" s="12" t="s">
        <v>7</v>
      </c>
      <c r="K110" s="12" t="s">
        <v>8</v>
      </c>
    </row>
    <row r="111" spans="1:12" x14ac:dyDescent="0.2">
      <c r="A111" s="13" t="s">
        <v>9</v>
      </c>
      <c r="B111" s="12" t="s">
        <v>10</v>
      </c>
      <c r="C111" s="12" t="s">
        <v>11</v>
      </c>
      <c r="D111" s="12" t="s">
        <v>12</v>
      </c>
      <c r="E111" s="12" t="s">
        <v>13</v>
      </c>
      <c r="F111" s="10"/>
      <c r="G111" s="13" t="s">
        <v>9</v>
      </c>
      <c r="H111" s="12" t="s">
        <v>10</v>
      </c>
      <c r="I111" s="12" t="s">
        <v>11</v>
      </c>
      <c r="J111" s="12" t="s">
        <v>12</v>
      </c>
      <c r="K111" s="12" t="s">
        <v>13</v>
      </c>
    </row>
    <row r="114" spans="1:11" s="11" customFormat="1" x14ac:dyDescent="0.2">
      <c r="A114" s="17" t="s">
        <v>27</v>
      </c>
      <c r="B114" s="17">
        <f>SUM(B116:B125)</f>
        <v>2764</v>
      </c>
      <c r="C114" s="17">
        <f>SUM(C116:C125)</f>
        <v>59211</v>
      </c>
      <c r="D114" s="18">
        <f>SUM(D116:D125)</f>
        <v>810381075</v>
      </c>
      <c r="E114" s="19">
        <f>13523/3</f>
        <v>4507.666666666667</v>
      </c>
      <c r="F114" s="17"/>
      <c r="G114" s="17" t="s">
        <v>27</v>
      </c>
      <c r="H114" s="17">
        <f>SUM(H116:H125)</f>
        <v>2649</v>
      </c>
      <c r="I114" s="17">
        <f>SUM(I116:I125)</f>
        <v>38680</v>
      </c>
      <c r="J114" s="18">
        <f>SUM(J116:J125)</f>
        <v>853146866</v>
      </c>
      <c r="K114" s="18">
        <f>22066/3</f>
        <v>7355.333333333333</v>
      </c>
    </row>
    <row r="115" spans="1:11" x14ac:dyDescent="0.2">
      <c r="A115" s="16" t="s">
        <v>28</v>
      </c>
      <c r="B115" s="16"/>
      <c r="C115" s="16"/>
      <c r="D115" s="16"/>
      <c r="E115" s="16"/>
      <c r="F115" s="16"/>
      <c r="G115" s="16" t="s">
        <v>28</v>
      </c>
      <c r="H115" s="16"/>
      <c r="I115" s="16"/>
      <c r="J115" s="16"/>
      <c r="K115" s="16"/>
    </row>
    <row r="116" spans="1:11" x14ac:dyDescent="0.2">
      <c r="A116" s="16" t="s">
        <v>15</v>
      </c>
      <c r="B116" s="16">
        <v>342</v>
      </c>
      <c r="C116" s="16">
        <v>0</v>
      </c>
      <c r="D116" s="16">
        <v>1088106</v>
      </c>
      <c r="E116" s="16">
        <f>9489/3</f>
        <v>3163</v>
      </c>
      <c r="F116" s="16"/>
      <c r="G116" s="16" t="s">
        <v>15</v>
      </c>
      <c r="H116" s="16">
        <v>375</v>
      </c>
      <c r="I116" s="16">
        <v>0</v>
      </c>
      <c r="J116" s="4">
        <v>7081396</v>
      </c>
      <c r="K116" s="16">
        <f>31520/3</f>
        <v>10506.666666666666</v>
      </c>
    </row>
    <row r="117" spans="1:11" x14ac:dyDescent="0.2">
      <c r="A117" s="16" t="s">
        <v>16</v>
      </c>
      <c r="B117" s="16">
        <v>1346</v>
      </c>
      <c r="C117" s="16">
        <v>2445</v>
      </c>
      <c r="D117" s="16">
        <v>26326030</v>
      </c>
      <c r="E117" s="16">
        <f>10890/3</f>
        <v>3630</v>
      </c>
      <c r="F117" s="16"/>
      <c r="G117" s="16" t="s">
        <v>16</v>
      </c>
      <c r="H117" s="16">
        <v>1480</v>
      </c>
      <c r="I117" s="16">
        <v>2347</v>
      </c>
      <c r="J117" s="4">
        <v>52236881</v>
      </c>
      <c r="K117" s="16">
        <f>22854/3</f>
        <v>7618</v>
      </c>
    </row>
    <row r="118" spans="1:11" x14ac:dyDescent="0.2">
      <c r="A118" s="16" t="s">
        <v>17</v>
      </c>
      <c r="B118" s="16">
        <v>372</v>
      </c>
      <c r="C118" s="16">
        <v>2470</v>
      </c>
      <c r="D118" s="16">
        <v>27481083</v>
      </c>
      <c r="E118" s="16">
        <f>11405/3</f>
        <v>3801.6666666666665</v>
      </c>
      <c r="F118" s="16"/>
      <c r="G118" s="16" t="s">
        <v>17</v>
      </c>
      <c r="H118" s="16">
        <v>276</v>
      </c>
      <c r="I118" s="16">
        <v>1812</v>
      </c>
      <c r="J118" s="16">
        <v>38971414</v>
      </c>
      <c r="K118" s="16">
        <f>21436/3</f>
        <v>7145.333333333333</v>
      </c>
    </row>
    <row r="119" spans="1:11" x14ac:dyDescent="0.2">
      <c r="A119" s="20" t="s">
        <v>56</v>
      </c>
      <c r="B119" s="16">
        <v>285</v>
      </c>
      <c r="C119" s="16">
        <v>3901</v>
      </c>
      <c r="D119" s="16">
        <v>45155397</v>
      </c>
      <c r="E119" s="16">
        <f>11757/3</f>
        <v>3919</v>
      </c>
      <c r="F119" s="16"/>
      <c r="G119" s="20" t="s">
        <v>56</v>
      </c>
      <c r="H119" s="16">
        <v>177</v>
      </c>
      <c r="I119" s="16">
        <v>2405</v>
      </c>
      <c r="J119" s="16">
        <v>37773361</v>
      </c>
      <c r="K119" s="16">
        <f>15033/3</f>
        <v>5011</v>
      </c>
    </row>
    <row r="120" spans="1:11" x14ac:dyDescent="0.2">
      <c r="A120" s="16" t="s">
        <v>18</v>
      </c>
      <c r="B120" s="16">
        <v>234</v>
      </c>
      <c r="C120" s="16">
        <v>7045</v>
      </c>
      <c r="D120" s="16">
        <v>80032977</v>
      </c>
      <c r="E120" s="16">
        <f>11347/3</f>
        <v>3782.3333333333335</v>
      </c>
      <c r="F120" s="16"/>
      <c r="G120" s="16" t="s">
        <v>18</v>
      </c>
      <c r="H120" s="16">
        <v>192</v>
      </c>
      <c r="I120" s="16">
        <v>6188</v>
      </c>
      <c r="J120" s="16">
        <v>104023316</v>
      </c>
      <c r="K120" s="16">
        <f>16924/3</f>
        <v>5641.333333333333</v>
      </c>
    </row>
    <row r="121" spans="1:11" x14ac:dyDescent="0.2">
      <c r="A121" s="16" t="s">
        <v>19</v>
      </c>
      <c r="B121" s="16">
        <v>85</v>
      </c>
      <c r="C121" s="16">
        <v>6034</v>
      </c>
      <c r="D121" s="16">
        <v>71254250</v>
      </c>
      <c r="E121" s="16">
        <f>11770/3</f>
        <v>3923.3333333333335</v>
      </c>
      <c r="F121" s="16"/>
      <c r="G121" s="16" t="s">
        <v>19</v>
      </c>
      <c r="H121" s="16">
        <v>70</v>
      </c>
      <c r="I121" s="16">
        <v>4724</v>
      </c>
      <c r="J121" s="16">
        <v>81608682</v>
      </c>
      <c r="K121" s="16">
        <f>17338/3</f>
        <v>5779.333333333333</v>
      </c>
    </row>
    <row r="122" spans="1:11" x14ac:dyDescent="0.2">
      <c r="A122" s="16" t="s">
        <v>20</v>
      </c>
      <c r="B122" s="16">
        <v>58</v>
      </c>
      <c r="C122" s="16">
        <v>8738</v>
      </c>
      <c r="D122" s="16">
        <v>101217324</v>
      </c>
      <c r="E122" s="16">
        <f>11476/3</f>
        <v>3825.3333333333335</v>
      </c>
      <c r="F122" s="16"/>
      <c r="G122" s="16" t="s">
        <v>20</v>
      </c>
      <c r="H122" s="16">
        <v>60</v>
      </c>
      <c r="I122" s="16">
        <v>8819</v>
      </c>
      <c r="J122" s="16">
        <v>148421700</v>
      </c>
      <c r="K122" s="16">
        <f>17157/3</f>
        <v>5719</v>
      </c>
    </row>
    <row r="123" spans="1:11" x14ac:dyDescent="0.2">
      <c r="A123" s="16" t="s">
        <v>21</v>
      </c>
      <c r="B123" s="16">
        <v>23</v>
      </c>
      <c r="C123" s="16">
        <v>8054</v>
      </c>
      <c r="D123" s="16">
        <v>101110540</v>
      </c>
      <c r="E123" s="16">
        <f>12417/3</f>
        <v>4139</v>
      </c>
      <c r="F123" s="16"/>
      <c r="G123" s="16" t="s">
        <v>21</v>
      </c>
      <c r="H123" s="16">
        <v>7</v>
      </c>
      <c r="I123" s="16">
        <v>2453</v>
      </c>
      <c r="J123" s="16">
        <v>59383102</v>
      </c>
      <c r="K123" s="16">
        <f>24391/3</f>
        <v>8130.333333333333</v>
      </c>
    </row>
    <row r="124" spans="1:11" x14ac:dyDescent="0.2">
      <c r="A124" s="16" t="s">
        <v>23</v>
      </c>
      <c r="B124" s="16">
        <v>15</v>
      </c>
      <c r="C124" s="16">
        <v>10876</v>
      </c>
      <c r="D124" s="16">
        <v>140920245</v>
      </c>
      <c r="E124" s="16">
        <f>12093/3</f>
        <v>4031</v>
      </c>
      <c r="F124" s="16"/>
      <c r="G124" s="16" t="s">
        <v>23</v>
      </c>
      <c r="H124" s="16">
        <v>9</v>
      </c>
      <c r="I124" s="16">
        <v>6283</v>
      </c>
      <c r="J124" s="16">
        <v>157258540</v>
      </c>
      <c r="K124" s="21">
        <f>25121/3</f>
        <v>8373.6666666666661</v>
      </c>
    </row>
    <row r="125" spans="1:11" x14ac:dyDescent="0.2">
      <c r="A125" s="16" t="s">
        <v>24</v>
      </c>
      <c r="B125" s="16">
        <v>4</v>
      </c>
      <c r="C125" s="16">
        <v>9648</v>
      </c>
      <c r="D125" s="16">
        <v>215795123</v>
      </c>
      <c r="E125" s="16">
        <f>22905/3</f>
        <v>7635</v>
      </c>
      <c r="F125" s="16"/>
      <c r="G125" s="16" t="s">
        <v>24</v>
      </c>
      <c r="H125" s="16">
        <v>3</v>
      </c>
      <c r="I125" s="16">
        <v>3649</v>
      </c>
      <c r="J125" s="16">
        <v>166388474</v>
      </c>
      <c r="K125" s="16">
        <f>45913/3</f>
        <v>15304.333333333334</v>
      </c>
    </row>
    <row r="128" spans="1:11" x14ac:dyDescent="0.2">
      <c r="A128" s="9" t="s">
        <v>36</v>
      </c>
      <c r="B128" s="9"/>
      <c r="C128" s="9"/>
      <c r="D128" s="9"/>
      <c r="E128" s="9"/>
      <c r="F128" s="10"/>
      <c r="G128" s="9" t="s">
        <v>37</v>
      </c>
      <c r="H128" s="9"/>
      <c r="I128" s="9"/>
      <c r="J128" s="9"/>
      <c r="K128" s="9"/>
    </row>
    <row r="129" spans="1:12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</row>
    <row r="130" spans="1:12" x14ac:dyDescent="0.2">
      <c r="A130" s="12"/>
      <c r="B130" s="12"/>
      <c r="C130" s="12"/>
      <c r="D130" s="12" t="s">
        <v>2</v>
      </c>
      <c r="E130" s="12" t="s">
        <v>3</v>
      </c>
      <c r="F130" s="10"/>
      <c r="G130" s="12"/>
      <c r="H130" s="12"/>
      <c r="I130" s="12"/>
      <c r="J130" s="12" t="s">
        <v>2</v>
      </c>
      <c r="K130" s="12" t="s">
        <v>3</v>
      </c>
    </row>
    <row r="131" spans="1:12" x14ac:dyDescent="0.2">
      <c r="A131" s="13" t="s">
        <v>4</v>
      </c>
      <c r="B131" s="12" t="s">
        <v>5</v>
      </c>
      <c r="C131" s="12" t="s">
        <v>6</v>
      </c>
      <c r="D131" s="12" t="s">
        <v>7</v>
      </c>
      <c r="E131" s="12" t="s">
        <v>8</v>
      </c>
      <c r="F131" s="10"/>
      <c r="G131" s="13" t="s">
        <v>4</v>
      </c>
      <c r="H131" s="12" t="s">
        <v>5</v>
      </c>
      <c r="I131" s="12" t="s">
        <v>6</v>
      </c>
      <c r="J131" s="12" t="s">
        <v>7</v>
      </c>
      <c r="K131" s="12" t="s">
        <v>8</v>
      </c>
    </row>
    <row r="132" spans="1:12" x14ac:dyDescent="0.2">
      <c r="A132" s="13" t="s">
        <v>9</v>
      </c>
      <c r="B132" s="12" t="s">
        <v>10</v>
      </c>
      <c r="C132" s="12" t="s">
        <v>11</v>
      </c>
      <c r="D132" s="12" t="s">
        <v>12</v>
      </c>
      <c r="E132" s="12" t="s">
        <v>13</v>
      </c>
      <c r="F132" s="10"/>
      <c r="G132" s="13" t="s">
        <v>9</v>
      </c>
      <c r="H132" s="12" t="s">
        <v>10</v>
      </c>
      <c r="I132" s="12" t="s">
        <v>11</v>
      </c>
      <c r="J132" s="12" t="s">
        <v>12</v>
      </c>
      <c r="K132" s="12" t="s">
        <v>13</v>
      </c>
    </row>
    <row r="135" spans="1:12" s="11" customFormat="1" x14ac:dyDescent="0.2">
      <c r="A135" s="17" t="s">
        <v>27</v>
      </c>
      <c r="B135" s="17">
        <f>SUM(B137:B146)</f>
        <v>5980</v>
      </c>
      <c r="C135" s="17">
        <f>SUM(C137:C146)</f>
        <v>66703</v>
      </c>
      <c r="D135" s="18">
        <f>SUM( D137:D146)</f>
        <v>1387080729</v>
      </c>
      <c r="E135" s="18">
        <f>20826/3</f>
        <v>6942</v>
      </c>
      <c r="F135" s="17"/>
      <c r="G135" s="17" t="s">
        <v>27</v>
      </c>
      <c r="H135" s="17">
        <f>SUM(H137:H143)</f>
        <v>5650</v>
      </c>
      <c r="I135" s="17">
        <f>SUM(I137:I143)</f>
        <v>21219</v>
      </c>
      <c r="J135" s="18">
        <f>SUM(J137:J143)</f>
        <v>284102230</v>
      </c>
      <c r="K135" s="18">
        <f>13538/3</f>
        <v>4512.666666666667</v>
      </c>
      <c r="L135" s="17"/>
    </row>
    <row r="136" spans="1:12" x14ac:dyDescent="0.2">
      <c r="A136" s="16" t="s">
        <v>28</v>
      </c>
      <c r="B136" s="16"/>
      <c r="C136" s="16"/>
      <c r="D136" s="16"/>
      <c r="E136" s="16"/>
      <c r="F136" s="16"/>
      <c r="G136" s="16" t="s">
        <v>28</v>
      </c>
      <c r="H136" s="16"/>
      <c r="I136" s="16"/>
      <c r="J136" s="16"/>
      <c r="K136" s="16"/>
      <c r="L136" s="16"/>
    </row>
    <row r="137" spans="1:12" x14ac:dyDescent="0.2">
      <c r="A137" s="35">
        <v>0</v>
      </c>
      <c r="B137" s="16">
        <v>667</v>
      </c>
      <c r="C137" s="16">
        <v>0</v>
      </c>
      <c r="D137" s="16">
        <v>2580287</v>
      </c>
      <c r="E137" s="16">
        <f>16400/3</f>
        <v>5466.666666666667</v>
      </c>
      <c r="F137" s="16"/>
      <c r="G137" s="16" t="s">
        <v>15</v>
      </c>
      <c r="H137" s="16">
        <v>1065</v>
      </c>
      <c r="I137" s="16">
        <v>0</v>
      </c>
      <c r="J137" s="16">
        <v>3157678</v>
      </c>
      <c r="K137" s="16">
        <f>16503/3</f>
        <v>5501</v>
      </c>
      <c r="L137" s="16"/>
    </row>
    <row r="138" spans="1:12" x14ac:dyDescent="0.2">
      <c r="A138" s="16" t="s">
        <v>16</v>
      </c>
      <c r="B138" s="16">
        <v>3308</v>
      </c>
      <c r="C138" s="16">
        <v>6120</v>
      </c>
      <c r="D138" s="16">
        <v>113039283</v>
      </c>
      <c r="E138" s="16">
        <f>18465/3</f>
        <v>6155</v>
      </c>
      <c r="F138" s="16"/>
      <c r="G138" s="16" t="s">
        <v>16</v>
      </c>
      <c r="H138" s="16">
        <v>3586</v>
      </c>
      <c r="I138" s="16">
        <v>5831</v>
      </c>
      <c r="J138" s="16">
        <v>63456380</v>
      </c>
      <c r="K138" s="16">
        <f>11124/3</f>
        <v>3708</v>
      </c>
      <c r="L138" s="16"/>
    </row>
    <row r="139" spans="1:12" x14ac:dyDescent="0.2">
      <c r="A139" s="16" t="s">
        <v>17</v>
      </c>
      <c r="B139" s="16">
        <v>1000</v>
      </c>
      <c r="C139" s="16">
        <v>6605</v>
      </c>
      <c r="D139" s="16">
        <v>96232978</v>
      </c>
      <c r="E139" s="16">
        <f>14621/3</f>
        <v>4873.666666666667</v>
      </c>
      <c r="F139" s="16"/>
      <c r="G139" s="16" t="s">
        <v>17</v>
      </c>
      <c r="H139" s="16">
        <v>573</v>
      </c>
      <c r="I139" s="16">
        <v>3716</v>
      </c>
      <c r="J139" s="16">
        <v>61208721</v>
      </c>
      <c r="K139" s="16">
        <f>16815/3</f>
        <v>5605</v>
      </c>
      <c r="L139" s="16"/>
    </row>
    <row r="140" spans="1:12" x14ac:dyDescent="0.2">
      <c r="A140" s="20" t="s">
        <v>56</v>
      </c>
      <c r="B140" s="16">
        <v>557</v>
      </c>
      <c r="C140" s="16">
        <v>7436</v>
      </c>
      <c r="D140" s="16">
        <v>117825502</v>
      </c>
      <c r="E140" s="16">
        <f>15919/3</f>
        <v>5306.333333333333</v>
      </c>
      <c r="F140" s="16"/>
      <c r="G140" s="20" t="s">
        <v>56</v>
      </c>
      <c r="H140" s="16">
        <v>253</v>
      </c>
      <c r="I140" s="16">
        <v>3323</v>
      </c>
      <c r="J140" s="16">
        <v>43880486</v>
      </c>
      <c r="K140" s="16">
        <f>13374/3</f>
        <v>4458</v>
      </c>
      <c r="L140" s="16"/>
    </row>
    <row r="141" spans="1:12" x14ac:dyDescent="0.2">
      <c r="A141" s="16" t="s">
        <v>18</v>
      </c>
      <c r="B141" s="16">
        <v>269</v>
      </c>
      <c r="C141" s="16">
        <v>7963</v>
      </c>
      <c r="D141" s="16">
        <v>185830336</v>
      </c>
      <c r="E141" s="16">
        <f>23430/3</f>
        <v>7810</v>
      </c>
      <c r="F141" s="16"/>
      <c r="G141" s="16" t="s">
        <v>18</v>
      </c>
      <c r="H141" s="16">
        <v>126</v>
      </c>
      <c r="I141" s="16">
        <v>3751</v>
      </c>
      <c r="J141" s="16">
        <v>52351388</v>
      </c>
      <c r="K141" s="16">
        <f>14063/3</f>
        <v>4687.666666666667</v>
      </c>
      <c r="L141" s="16"/>
    </row>
    <row r="142" spans="1:12" x14ac:dyDescent="0.2">
      <c r="A142" s="16" t="s">
        <v>19</v>
      </c>
      <c r="B142" s="16">
        <v>87</v>
      </c>
      <c r="C142" s="16">
        <v>5938</v>
      </c>
      <c r="D142" s="16">
        <v>163428168</v>
      </c>
      <c r="E142" s="16">
        <f>27640/3</f>
        <v>9213.3333333333339</v>
      </c>
      <c r="F142" s="16"/>
      <c r="G142" s="16" t="s">
        <v>19</v>
      </c>
      <c r="H142" s="16">
        <v>34</v>
      </c>
      <c r="I142" s="16">
        <v>2314</v>
      </c>
      <c r="J142" s="16">
        <v>29407089</v>
      </c>
      <c r="K142" s="16">
        <f>12922/3</f>
        <v>4307.333333333333</v>
      </c>
      <c r="L142" s="16"/>
    </row>
    <row r="143" spans="1:12" x14ac:dyDescent="0.2">
      <c r="A143" s="16" t="s">
        <v>20</v>
      </c>
      <c r="B143" s="16">
        <v>56</v>
      </c>
      <c r="C143" s="16">
        <v>8843</v>
      </c>
      <c r="D143" s="16">
        <v>203148544</v>
      </c>
      <c r="E143" s="16">
        <f>23083/3</f>
        <v>7694.333333333333</v>
      </c>
      <c r="F143" s="16"/>
      <c r="G143" s="16" t="s">
        <v>38</v>
      </c>
      <c r="H143" s="16">
        <f>11+2</f>
        <v>13</v>
      </c>
      <c r="I143" s="16">
        <f>1623+661</f>
        <v>2284</v>
      </c>
      <c r="J143" s="16">
        <f>18924115+11716373</f>
        <v>30640488</v>
      </c>
      <c r="K143" s="21">
        <v>4707</v>
      </c>
      <c r="L143" s="16"/>
    </row>
    <row r="144" spans="1:12" x14ac:dyDescent="0.2">
      <c r="A144" s="16" t="s">
        <v>21</v>
      </c>
      <c r="B144" s="16">
        <v>21</v>
      </c>
      <c r="C144" s="16">
        <v>7045</v>
      </c>
      <c r="D144" s="16">
        <v>145534567</v>
      </c>
      <c r="E144" s="16">
        <f>20896/3</f>
        <v>6965.333333333333</v>
      </c>
      <c r="F144" s="16"/>
      <c r="G144" s="16"/>
      <c r="H144" s="16"/>
      <c r="I144" s="16"/>
      <c r="J144" s="16"/>
      <c r="K144" s="16"/>
      <c r="L144" s="16"/>
    </row>
    <row r="145" spans="1:12" x14ac:dyDescent="0.2">
      <c r="A145" s="16" t="s">
        <v>23</v>
      </c>
      <c r="B145" s="16">
        <v>8</v>
      </c>
      <c r="C145" s="16">
        <v>5521</v>
      </c>
      <c r="D145" s="16">
        <v>126851564</v>
      </c>
      <c r="E145" s="16">
        <f>23065/3</f>
        <v>7688.333333333333</v>
      </c>
      <c r="F145" s="16"/>
      <c r="G145" s="16"/>
      <c r="H145" s="16"/>
      <c r="I145" s="16"/>
      <c r="J145" s="16"/>
      <c r="K145" s="16"/>
      <c r="L145" s="16"/>
    </row>
    <row r="146" spans="1:12" x14ac:dyDescent="0.2">
      <c r="A146" s="16" t="s">
        <v>24</v>
      </c>
      <c r="B146" s="16">
        <v>7</v>
      </c>
      <c r="C146" s="16">
        <v>11232</v>
      </c>
      <c r="D146" s="16">
        <v>232609500</v>
      </c>
      <c r="E146" s="16">
        <f>20713/3</f>
        <v>6904.333333333333</v>
      </c>
      <c r="F146" s="16"/>
      <c r="G146" s="16"/>
      <c r="H146" s="16"/>
      <c r="I146" s="16"/>
      <c r="J146" s="16"/>
      <c r="K146" s="16"/>
      <c r="L146" s="16"/>
    </row>
    <row r="148" spans="1:12" x14ac:dyDescent="0.2">
      <c r="A148" s="24" t="s">
        <v>64</v>
      </c>
      <c r="B148" s="25"/>
      <c r="C148" s="25"/>
      <c r="D148" s="25"/>
      <c r="E148" s="25"/>
      <c r="F148" s="25"/>
      <c r="G148" s="25"/>
      <c r="H148" s="25"/>
      <c r="I148" s="25"/>
    </row>
    <row r="153" spans="1:12" x14ac:dyDescent="0.2">
      <c r="D153" s="24"/>
      <c r="E153" s="24"/>
      <c r="F153" s="24"/>
      <c r="G153" s="24"/>
      <c r="H153" s="24"/>
    </row>
    <row r="154" spans="1:12" x14ac:dyDescent="0.2">
      <c r="A154" s="28" t="s">
        <v>68</v>
      </c>
      <c r="B154" s="32"/>
      <c r="C154" s="32"/>
      <c r="D154" s="32"/>
      <c r="E154" s="32"/>
      <c r="F154" s="32"/>
      <c r="G154" s="32"/>
      <c r="H154" s="32"/>
      <c r="I154" s="32"/>
      <c r="J154" s="32"/>
      <c r="K154" s="32"/>
    </row>
    <row r="155" spans="1:12" x14ac:dyDescent="0.2">
      <c r="A155" s="28" t="s">
        <v>62</v>
      </c>
      <c r="B155" s="33"/>
      <c r="C155" s="33"/>
      <c r="D155" s="33"/>
      <c r="E155" s="33"/>
      <c r="F155" s="33"/>
      <c r="G155" s="33"/>
      <c r="H155" s="33"/>
      <c r="I155" s="33"/>
      <c r="J155" s="33"/>
      <c r="K155" s="33"/>
    </row>
    <row r="156" spans="1:12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</row>
    <row r="157" spans="1:12" x14ac:dyDescent="0.2">
      <c r="A157" s="9" t="s">
        <v>39</v>
      </c>
      <c r="B157" s="9"/>
      <c r="C157" s="9"/>
      <c r="D157" s="9"/>
      <c r="E157" s="9"/>
      <c r="F157" s="10"/>
      <c r="G157" s="9" t="s">
        <v>40</v>
      </c>
      <c r="H157" s="9"/>
      <c r="I157" s="9"/>
      <c r="J157" s="9"/>
      <c r="K157" s="9"/>
    </row>
    <row r="158" spans="1:12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</row>
    <row r="159" spans="1:12" x14ac:dyDescent="0.2">
      <c r="A159" s="12"/>
      <c r="B159" s="12"/>
      <c r="C159" s="12"/>
      <c r="D159" s="12" t="s">
        <v>2</v>
      </c>
      <c r="E159" s="12" t="s">
        <v>3</v>
      </c>
      <c r="F159" s="10"/>
      <c r="G159" s="12"/>
      <c r="H159" s="12"/>
      <c r="I159" s="12"/>
      <c r="J159" s="12" t="s">
        <v>2</v>
      </c>
      <c r="K159" s="12" t="s">
        <v>3</v>
      </c>
    </row>
    <row r="160" spans="1:12" x14ac:dyDescent="0.2">
      <c r="A160" s="13" t="s">
        <v>4</v>
      </c>
      <c r="B160" s="12" t="s">
        <v>5</v>
      </c>
      <c r="C160" s="12" t="s">
        <v>6</v>
      </c>
      <c r="D160" s="12" t="s">
        <v>7</v>
      </c>
      <c r="E160" s="12" t="s">
        <v>8</v>
      </c>
      <c r="F160" s="10"/>
      <c r="G160" s="13" t="s">
        <v>4</v>
      </c>
      <c r="H160" s="12" t="s">
        <v>5</v>
      </c>
      <c r="I160" s="12" t="s">
        <v>6</v>
      </c>
      <c r="J160" s="12" t="s">
        <v>7</v>
      </c>
      <c r="K160" s="12" t="s">
        <v>8</v>
      </c>
    </row>
    <row r="161" spans="1:12" x14ac:dyDescent="0.2">
      <c r="A161" s="13" t="s">
        <v>9</v>
      </c>
      <c r="B161" s="12" t="s">
        <v>10</v>
      </c>
      <c r="C161" s="12" t="s">
        <v>11</v>
      </c>
      <c r="D161" s="12" t="s">
        <v>12</v>
      </c>
      <c r="E161" s="12" t="s">
        <v>13</v>
      </c>
      <c r="F161" s="10"/>
      <c r="G161" s="13" t="s">
        <v>9</v>
      </c>
      <c r="H161" s="12" t="s">
        <v>10</v>
      </c>
      <c r="I161" s="12" t="s">
        <v>11</v>
      </c>
      <c r="J161" s="12" t="s">
        <v>12</v>
      </c>
      <c r="K161" s="12" t="s">
        <v>13</v>
      </c>
    </row>
    <row r="164" spans="1:12" s="11" customFormat="1" x14ac:dyDescent="0.2">
      <c r="A164" s="11" t="s">
        <v>27</v>
      </c>
      <c r="B164" s="11">
        <f>SUM(B166:B175)</f>
        <v>16429</v>
      </c>
      <c r="C164" s="11">
        <f>SUM(C166:C175)</f>
        <v>108016</v>
      </c>
      <c r="D164" s="11">
        <f>SUM(D166:D175)</f>
        <v>2038723586</v>
      </c>
      <c r="E164" s="29">
        <f>18940/3</f>
        <v>6313.333333333333</v>
      </c>
      <c r="G164" s="17" t="s">
        <v>27</v>
      </c>
      <c r="H164" s="17">
        <f>SUM(H166:H174)</f>
        <v>929</v>
      </c>
      <c r="I164" s="17">
        <f>SUM(I166:I174)</f>
        <v>20213</v>
      </c>
      <c r="J164" s="18">
        <f>SUM(J166:J174)</f>
        <v>542591138</v>
      </c>
      <c r="K164" s="18">
        <f>26961/3</f>
        <v>8987</v>
      </c>
    </row>
    <row r="165" spans="1:12" x14ac:dyDescent="0.2">
      <c r="A165" s="4" t="s">
        <v>28</v>
      </c>
      <c r="G165" s="16" t="s">
        <v>28</v>
      </c>
      <c r="H165" s="16"/>
      <c r="I165" s="16"/>
      <c r="J165" s="16"/>
      <c r="K165" s="16"/>
    </row>
    <row r="166" spans="1:12" x14ac:dyDescent="0.2">
      <c r="A166" s="16" t="s">
        <v>15</v>
      </c>
      <c r="B166" s="16">
        <v>3122</v>
      </c>
      <c r="C166" s="16">
        <v>0</v>
      </c>
      <c r="D166" s="16">
        <v>13605956</v>
      </c>
      <c r="E166" s="16">
        <f>19586/3</f>
        <v>6528.666666666667</v>
      </c>
      <c r="F166" s="16"/>
      <c r="G166" s="16" t="s">
        <v>15</v>
      </c>
      <c r="H166" s="16">
        <v>121</v>
      </c>
      <c r="I166" s="16">
        <v>0</v>
      </c>
      <c r="J166" s="16">
        <v>859524</v>
      </c>
      <c r="K166" s="16">
        <f>16424/3</f>
        <v>5474.666666666667</v>
      </c>
      <c r="L166" s="16"/>
    </row>
    <row r="167" spans="1:12" x14ac:dyDescent="0.2">
      <c r="A167" s="16" t="s">
        <v>16</v>
      </c>
      <c r="B167" s="16">
        <v>9913</v>
      </c>
      <c r="C167" s="16">
        <v>15423</v>
      </c>
      <c r="D167" s="16">
        <v>262914422</v>
      </c>
      <c r="E167" s="16">
        <f>17413/3</f>
        <v>5804.333333333333</v>
      </c>
      <c r="F167" s="16"/>
      <c r="G167" s="16" t="s">
        <v>16</v>
      </c>
      <c r="H167" s="16">
        <v>503</v>
      </c>
      <c r="I167" s="16">
        <v>802</v>
      </c>
      <c r="J167" s="16">
        <v>21969013</v>
      </c>
      <c r="K167" s="16">
        <f>27542/3</f>
        <v>9180.6666666666661</v>
      </c>
      <c r="L167" s="16"/>
    </row>
    <row r="168" spans="1:12" x14ac:dyDescent="0.2">
      <c r="A168" s="16" t="s">
        <v>17</v>
      </c>
      <c r="B168" s="16">
        <v>1501</v>
      </c>
      <c r="C168" s="16">
        <v>9831</v>
      </c>
      <c r="D168" s="16">
        <v>151831225</v>
      </c>
      <c r="E168" s="16">
        <f>15620/3</f>
        <v>5206.666666666667</v>
      </c>
      <c r="F168" s="16"/>
      <c r="G168" s="16" t="s">
        <v>17</v>
      </c>
      <c r="H168" s="16">
        <v>82</v>
      </c>
      <c r="I168" s="16">
        <v>544</v>
      </c>
      <c r="J168" s="16">
        <v>11819770</v>
      </c>
      <c r="K168" s="16">
        <f>22245/3</f>
        <v>7415</v>
      </c>
      <c r="L168" s="16"/>
    </row>
    <row r="169" spans="1:12" x14ac:dyDescent="0.2">
      <c r="A169" s="20" t="s">
        <v>56</v>
      </c>
      <c r="B169" s="16">
        <v>926</v>
      </c>
      <c r="C169" s="16">
        <v>12395</v>
      </c>
      <c r="D169" s="16">
        <v>217849916</v>
      </c>
      <c r="E169" s="16">
        <f>17801/3</f>
        <v>5933.666666666667</v>
      </c>
      <c r="F169" s="16"/>
      <c r="G169" s="20" t="s">
        <v>56</v>
      </c>
      <c r="H169" s="16">
        <v>74</v>
      </c>
      <c r="I169" s="16">
        <v>987</v>
      </c>
      <c r="J169" s="16">
        <v>17845165</v>
      </c>
      <c r="K169" s="16">
        <f>183324/3</f>
        <v>61108</v>
      </c>
      <c r="L169" s="16"/>
    </row>
    <row r="170" spans="1:12" x14ac:dyDescent="0.2">
      <c r="A170" s="16" t="s">
        <v>18</v>
      </c>
      <c r="B170" s="16">
        <v>636</v>
      </c>
      <c r="C170" s="16">
        <v>19279</v>
      </c>
      <c r="D170" s="16">
        <v>353486395</v>
      </c>
      <c r="E170" s="16">
        <f>18533/3</f>
        <v>6177.666666666667</v>
      </c>
      <c r="F170" s="16"/>
      <c r="G170" s="16" t="s">
        <v>18</v>
      </c>
      <c r="H170" s="16">
        <v>74</v>
      </c>
      <c r="I170" s="16">
        <v>2302</v>
      </c>
      <c r="J170" s="16">
        <v>64223617</v>
      </c>
      <c r="K170" s="16">
        <f>28164/3</f>
        <v>9388</v>
      </c>
      <c r="L170" s="16"/>
    </row>
    <row r="171" spans="1:12" x14ac:dyDescent="0.2">
      <c r="A171" s="16" t="s">
        <v>19</v>
      </c>
      <c r="B171" s="16">
        <v>181</v>
      </c>
      <c r="C171" s="16">
        <v>12339</v>
      </c>
      <c r="D171" s="16">
        <v>228737189</v>
      </c>
      <c r="E171" s="16">
        <f>18747/3</f>
        <v>6249</v>
      </c>
      <c r="F171" s="16"/>
      <c r="G171" s="16" t="s">
        <v>19</v>
      </c>
      <c r="H171" s="16">
        <v>34</v>
      </c>
      <c r="I171" s="16">
        <v>2294</v>
      </c>
      <c r="J171" s="16">
        <v>48722608</v>
      </c>
      <c r="K171" s="16">
        <f>21661/3</f>
        <v>7220.333333333333</v>
      </c>
      <c r="L171" s="16"/>
    </row>
    <row r="172" spans="1:12" x14ac:dyDescent="0.2">
      <c r="A172" s="16" t="s">
        <v>20</v>
      </c>
      <c r="B172" s="16">
        <v>105</v>
      </c>
      <c r="C172" s="16">
        <v>14786</v>
      </c>
      <c r="D172" s="16">
        <v>331927220</v>
      </c>
      <c r="E172" s="16">
        <f>22345/3</f>
        <v>7448.333333333333</v>
      </c>
      <c r="F172" s="16"/>
      <c r="G172" s="16" t="s">
        <v>20</v>
      </c>
      <c r="H172" s="16">
        <v>28</v>
      </c>
      <c r="I172" s="16">
        <v>4737</v>
      </c>
      <c r="J172" s="16">
        <v>167102822</v>
      </c>
      <c r="K172" s="16">
        <f>35283/3</f>
        <v>11761</v>
      </c>
      <c r="L172" s="16"/>
    </row>
    <row r="173" spans="1:12" x14ac:dyDescent="0.2">
      <c r="A173" s="16" t="s">
        <v>21</v>
      </c>
      <c r="B173" s="21">
        <v>28</v>
      </c>
      <c r="C173" s="16">
        <v>9918</v>
      </c>
      <c r="D173" s="16">
        <v>218152891</v>
      </c>
      <c r="E173" s="16">
        <f>22091/3</f>
        <v>7363.666666666667</v>
      </c>
      <c r="F173" s="16"/>
      <c r="G173" s="16" t="s">
        <v>21</v>
      </c>
      <c r="H173" s="16">
        <v>7</v>
      </c>
      <c r="I173" s="16">
        <v>2615</v>
      </c>
      <c r="J173" s="16">
        <v>60189663</v>
      </c>
      <c r="K173" s="16">
        <f>22979/3</f>
        <v>7659.666666666667</v>
      </c>
      <c r="L173" s="16"/>
    </row>
    <row r="174" spans="1:12" x14ac:dyDescent="0.2">
      <c r="A174" s="16" t="s">
        <v>23</v>
      </c>
      <c r="B174" s="16">
        <v>12</v>
      </c>
      <c r="C174" s="16">
        <v>7483</v>
      </c>
      <c r="D174" s="16">
        <v>158436858</v>
      </c>
      <c r="E174" s="16">
        <f>21159/3</f>
        <v>7053</v>
      </c>
      <c r="F174" s="16"/>
      <c r="G174" s="16" t="s">
        <v>23</v>
      </c>
      <c r="H174" s="16">
        <f>4+2</f>
        <v>6</v>
      </c>
      <c r="I174" s="16">
        <f>2663+3269</f>
        <v>5932</v>
      </c>
      <c r="J174" s="16">
        <f>80281225+69577731</f>
        <v>149858956</v>
      </c>
      <c r="K174" s="21">
        <v>8488</v>
      </c>
      <c r="L174" s="16"/>
    </row>
    <row r="175" spans="1:12" x14ac:dyDescent="0.2">
      <c r="A175" s="16" t="s">
        <v>24</v>
      </c>
      <c r="B175" s="4">
        <v>5</v>
      </c>
      <c r="C175" s="4">
        <v>6562</v>
      </c>
      <c r="D175" s="4">
        <v>101781514</v>
      </c>
      <c r="E175" s="16">
        <f>15901/3</f>
        <v>5300.333333333333</v>
      </c>
    </row>
    <row r="178" spans="1:12" x14ac:dyDescent="0.2">
      <c r="A178" s="36" t="s">
        <v>41</v>
      </c>
      <c r="B178" s="36"/>
      <c r="C178" s="36"/>
      <c r="D178" s="36"/>
      <c r="E178" s="36"/>
      <c r="F178" s="10"/>
      <c r="G178" s="9" t="s">
        <v>59</v>
      </c>
      <c r="H178" s="9"/>
      <c r="I178" s="9"/>
      <c r="J178" s="9"/>
      <c r="K178" s="9"/>
    </row>
    <row r="179" spans="1:12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</row>
    <row r="180" spans="1:12" x14ac:dyDescent="0.2">
      <c r="A180" s="12"/>
      <c r="B180" s="12"/>
      <c r="C180" s="12"/>
      <c r="D180" s="12" t="s">
        <v>2</v>
      </c>
      <c r="E180" s="12" t="s">
        <v>3</v>
      </c>
      <c r="F180" s="10"/>
      <c r="G180" s="12"/>
      <c r="H180" s="12"/>
      <c r="I180" s="12"/>
      <c r="J180" s="12" t="s">
        <v>2</v>
      </c>
      <c r="K180" s="12" t="s">
        <v>3</v>
      </c>
    </row>
    <row r="181" spans="1:12" x14ac:dyDescent="0.2">
      <c r="A181" s="13" t="s">
        <v>4</v>
      </c>
      <c r="B181" s="12" t="s">
        <v>5</v>
      </c>
      <c r="C181" s="12" t="s">
        <v>6</v>
      </c>
      <c r="D181" s="12" t="s">
        <v>7</v>
      </c>
      <c r="E181" s="12" t="s">
        <v>8</v>
      </c>
      <c r="F181" s="10"/>
      <c r="G181" s="13" t="s">
        <v>4</v>
      </c>
      <c r="H181" s="12" t="s">
        <v>5</v>
      </c>
      <c r="I181" s="12" t="s">
        <v>6</v>
      </c>
      <c r="J181" s="12" t="s">
        <v>7</v>
      </c>
      <c r="K181" s="12" t="s">
        <v>8</v>
      </c>
    </row>
    <row r="182" spans="1:12" x14ac:dyDescent="0.2">
      <c r="A182" s="13" t="s">
        <v>9</v>
      </c>
      <c r="B182" s="12" t="s">
        <v>10</v>
      </c>
      <c r="C182" s="12" t="s">
        <v>11</v>
      </c>
      <c r="D182" s="12" t="s">
        <v>12</v>
      </c>
      <c r="E182" s="12" t="s">
        <v>13</v>
      </c>
      <c r="F182" s="10"/>
      <c r="G182" s="13" t="s">
        <v>9</v>
      </c>
      <c r="H182" s="12" t="s">
        <v>10</v>
      </c>
      <c r="I182" s="12" t="s">
        <v>11</v>
      </c>
      <c r="J182" s="12" t="s">
        <v>12</v>
      </c>
      <c r="K182" s="12" t="s">
        <v>13</v>
      </c>
    </row>
    <row r="185" spans="1:12" s="11" customFormat="1" x14ac:dyDescent="0.2">
      <c r="A185" s="17" t="s">
        <v>27</v>
      </c>
      <c r="B185" s="17">
        <f>SUM(B187:B196)</f>
        <v>6238</v>
      </c>
      <c r="C185" s="17">
        <f>SUM(C187:C196)</f>
        <v>91226</v>
      </c>
      <c r="D185" s="18">
        <f>SUM(D187:D196)</f>
        <v>880739235</v>
      </c>
      <c r="E185" s="18">
        <f>9721/3</f>
        <v>3240.3333333333335</v>
      </c>
      <c r="F185" s="17"/>
      <c r="G185" s="17" t="s">
        <v>27</v>
      </c>
      <c r="H185" s="17">
        <f>SUM(H187:H196)</f>
        <v>1727</v>
      </c>
      <c r="I185" s="17">
        <f>SUM(I187:I196)</f>
        <v>53162</v>
      </c>
      <c r="J185" s="18">
        <f>SUM(J187:J196)</f>
        <v>419520837</v>
      </c>
      <c r="K185" s="18">
        <f>8019/3</f>
        <v>2673</v>
      </c>
      <c r="L185" s="17"/>
    </row>
    <row r="186" spans="1:12" x14ac:dyDescent="0.2">
      <c r="A186" s="16" t="s">
        <v>28</v>
      </c>
      <c r="B186" s="16"/>
      <c r="C186" s="16"/>
      <c r="D186" s="16"/>
      <c r="E186" s="16"/>
      <c r="F186" s="16"/>
      <c r="G186" s="16" t="s">
        <v>28</v>
      </c>
      <c r="H186" s="16"/>
      <c r="I186" s="16"/>
      <c r="J186" s="16"/>
      <c r="K186" s="16"/>
      <c r="L186" s="16"/>
    </row>
    <row r="187" spans="1:12" x14ac:dyDescent="0.2">
      <c r="A187" s="16" t="s">
        <v>15</v>
      </c>
      <c r="B187" s="16">
        <v>1255</v>
      </c>
      <c r="C187" s="16">
        <v>0</v>
      </c>
      <c r="D187" s="16">
        <v>3810249</v>
      </c>
      <c r="E187" s="16">
        <f>11002/3</f>
        <v>3667.3333333333335</v>
      </c>
      <c r="F187" s="16"/>
      <c r="G187" s="16" t="s">
        <v>15</v>
      </c>
      <c r="H187" s="16">
        <v>257</v>
      </c>
      <c r="I187" s="16">
        <v>0</v>
      </c>
      <c r="J187" s="16">
        <v>1210407</v>
      </c>
      <c r="K187" s="16">
        <f>7336/3</f>
        <v>2445.3333333333335</v>
      </c>
      <c r="L187" s="16"/>
    </row>
    <row r="188" spans="1:12" x14ac:dyDescent="0.2">
      <c r="A188" s="16" t="s">
        <v>16</v>
      </c>
      <c r="B188" s="16">
        <v>2907</v>
      </c>
      <c r="C188" s="16">
        <v>5296</v>
      </c>
      <c r="D188" s="16">
        <v>64299599</v>
      </c>
      <c r="E188" s="16">
        <f>12387/3</f>
        <v>4129</v>
      </c>
      <c r="F188" s="16"/>
      <c r="G188" s="16" t="s">
        <v>16</v>
      </c>
      <c r="H188" s="16">
        <v>715</v>
      </c>
      <c r="I188" s="16">
        <v>1219</v>
      </c>
      <c r="J188" s="16">
        <v>13666943</v>
      </c>
      <c r="K188" s="16">
        <f>11276/3</f>
        <v>3758.6666666666665</v>
      </c>
      <c r="L188" s="16"/>
    </row>
    <row r="189" spans="1:12" x14ac:dyDescent="0.2">
      <c r="A189" s="16" t="s">
        <v>17</v>
      </c>
      <c r="B189" s="16">
        <v>838</v>
      </c>
      <c r="C189" s="16">
        <v>5527</v>
      </c>
      <c r="D189" s="16">
        <v>51446810</v>
      </c>
      <c r="E189" s="16">
        <f>9783/3</f>
        <v>3261</v>
      </c>
      <c r="F189" s="16"/>
      <c r="G189" s="16" t="s">
        <v>17</v>
      </c>
      <c r="H189" s="16">
        <v>214</v>
      </c>
      <c r="I189" s="16">
        <v>1419</v>
      </c>
      <c r="J189" s="16">
        <v>8407369</v>
      </c>
      <c r="K189" s="16">
        <f>6135/3</f>
        <v>2045</v>
      </c>
      <c r="L189" s="16"/>
    </row>
    <row r="190" spans="1:12" x14ac:dyDescent="0.2">
      <c r="A190" s="20" t="s">
        <v>56</v>
      </c>
      <c r="B190" s="16">
        <v>543</v>
      </c>
      <c r="C190" s="16">
        <v>7362</v>
      </c>
      <c r="D190" s="16">
        <v>67294447</v>
      </c>
      <c r="E190" s="16">
        <f>9374/3</f>
        <v>3124.6666666666665</v>
      </c>
      <c r="F190" s="16"/>
      <c r="G190" s="20" t="s">
        <v>56</v>
      </c>
      <c r="H190" s="16">
        <v>187</v>
      </c>
      <c r="I190" s="16">
        <v>2598</v>
      </c>
      <c r="J190" s="16">
        <v>14024317</v>
      </c>
      <c r="K190" s="16">
        <f>5567/3</f>
        <v>1855.6666666666667</v>
      </c>
      <c r="L190" s="16"/>
    </row>
    <row r="191" spans="1:12" x14ac:dyDescent="0.2">
      <c r="A191" s="16" t="s">
        <v>18</v>
      </c>
      <c r="B191" s="16">
        <v>363</v>
      </c>
      <c r="C191" s="16">
        <v>11327</v>
      </c>
      <c r="D191" s="16">
        <v>115596961</v>
      </c>
      <c r="E191" s="16">
        <f>10300/3</f>
        <v>3433.3333333333335</v>
      </c>
      <c r="F191" s="16"/>
      <c r="G191" s="16" t="s">
        <v>18</v>
      </c>
      <c r="H191" s="16">
        <v>194</v>
      </c>
      <c r="I191" s="16">
        <v>6065</v>
      </c>
      <c r="J191" s="16">
        <v>40974255</v>
      </c>
      <c r="K191" s="16">
        <f>6894/3</f>
        <v>2298</v>
      </c>
      <c r="L191" s="16"/>
    </row>
    <row r="192" spans="1:12" x14ac:dyDescent="0.2">
      <c r="A192" s="16" t="s">
        <v>19</v>
      </c>
      <c r="B192" s="16">
        <v>153</v>
      </c>
      <c r="C192" s="16">
        <v>10616</v>
      </c>
      <c r="D192" s="16">
        <v>109110399</v>
      </c>
      <c r="E192" s="16">
        <f>10517/3</f>
        <v>3505.6666666666665</v>
      </c>
      <c r="F192" s="16"/>
      <c r="G192" s="16" t="s">
        <v>19</v>
      </c>
      <c r="H192" s="16">
        <v>97</v>
      </c>
      <c r="I192" s="16">
        <v>6712</v>
      </c>
      <c r="J192" s="16">
        <v>48559301</v>
      </c>
      <c r="K192" s="16">
        <f>7294/3</f>
        <v>2431.3333333333335</v>
      </c>
      <c r="L192" s="16"/>
    </row>
    <row r="193" spans="1:12" x14ac:dyDescent="0.2">
      <c r="A193" s="16" t="s">
        <v>20</v>
      </c>
      <c r="B193" s="16">
        <v>118</v>
      </c>
      <c r="C193" s="16">
        <v>17785</v>
      </c>
      <c r="D193" s="16">
        <v>162089502</v>
      </c>
      <c r="E193" s="16">
        <f>9162/3</f>
        <v>3054</v>
      </c>
      <c r="F193" s="16"/>
      <c r="G193" s="16" t="s">
        <v>20</v>
      </c>
      <c r="H193" s="16">
        <v>50</v>
      </c>
      <c r="I193" s="16">
        <v>7028</v>
      </c>
      <c r="J193" s="16">
        <v>74618296</v>
      </c>
      <c r="K193" s="16">
        <f>10596/3</f>
        <v>3532</v>
      </c>
      <c r="L193" s="16"/>
    </row>
    <row r="194" spans="1:12" x14ac:dyDescent="0.2">
      <c r="A194" s="16" t="s">
        <v>21</v>
      </c>
      <c r="B194" s="16">
        <v>39</v>
      </c>
      <c r="C194" s="16">
        <v>13747</v>
      </c>
      <c r="D194" s="16">
        <v>129996532</v>
      </c>
      <c r="E194" s="16">
        <f>9325/3</f>
        <v>3108.3333333333335</v>
      </c>
      <c r="F194" s="16"/>
      <c r="G194" s="16" t="s">
        <v>58</v>
      </c>
      <c r="H194" s="16">
        <v>7</v>
      </c>
      <c r="I194" s="16">
        <v>2476</v>
      </c>
      <c r="J194" s="16">
        <v>37518520</v>
      </c>
      <c r="K194" s="16">
        <f>15965/3</f>
        <v>5321.666666666667</v>
      </c>
      <c r="L194" s="16"/>
    </row>
    <row r="195" spans="1:12" x14ac:dyDescent="0.2">
      <c r="A195" s="16" t="s">
        <v>23</v>
      </c>
      <c r="B195" s="16">
        <v>16</v>
      </c>
      <c r="C195" s="16">
        <v>10732</v>
      </c>
      <c r="D195" s="16">
        <v>117071975</v>
      </c>
      <c r="E195" s="16">
        <f>10872/3</f>
        <v>3624</v>
      </c>
      <c r="F195" s="16"/>
      <c r="G195" s="16" t="s">
        <v>23</v>
      </c>
      <c r="H195" s="16">
        <v>3</v>
      </c>
      <c r="I195" s="16">
        <v>1887</v>
      </c>
      <c r="J195" s="16">
        <v>17730200</v>
      </c>
      <c r="K195" s="21">
        <f>9539/3</f>
        <v>3179.6666666666665</v>
      </c>
      <c r="L195" s="16"/>
    </row>
    <row r="196" spans="1:12" x14ac:dyDescent="0.2">
      <c r="A196" s="16" t="s">
        <v>24</v>
      </c>
      <c r="B196" s="16">
        <v>6</v>
      </c>
      <c r="C196" s="16">
        <v>8834</v>
      </c>
      <c r="D196" s="16">
        <v>60022761</v>
      </c>
      <c r="E196" s="16">
        <f>6956/3</f>
        <v>2318.6666666666665</v>
      </c>
      <c r="F196" s="16"/>
      <c r="G196" s="16" t="s">
        <v>24</v>
      </c>
      <c r="H196" s="16">
        <v>3</v>
      </c>
      <c r="I196" s="16">
        <v>23758</v>
      </c>
      <c r="J196" s="16">
        <v>162811229</v>
      </c>
      <c r="K196" s="21">
        <f>7019/3</f>
        <v>2339.6666666666665</v>
      </c>
      <c r="L196" s="16"/>
    </row>
    <row r="198" spans="1:12" x14ac:dyDescent="0.2">
      <c r="A198" s="26" t="s">
        <v>64</v>
      </c>
      <c r="B198" s="27"/>
      <c r="C198" s="27"/>
      <c r="D198" s="27"/>
      <c r="E198" s="27"/>
      <c r="F198" s="27"/>
      <c r="G198" s="27"/>
      <c r="H198" s="27"/>
      <c r="I198" s="27"/>
    </row>
    <row r="202" spans="1:12" x14ac:dyDescent="0.2">
      <c r="D202" s="26"/>
      <c r="E202" s="27"/>
      <c r="F202" s="27"/>
      <c r="G202" s="27"/>
      <c r="H202" s="27"/>
    </row>
    <row r="203" spans="1:12" x14ac:dyDescent="0.2">
      <c r="A203" s="28" t="s">
        <v>68</v>
      </c>
      <c r="B203" s="32"/>
      <c r="C203" s="32"/>
      <c r="D203" s="32"/>
      <c r="E203" s="32"/>
      <c r="F203" s="32"/>
      <c r="G203" s="32"/>
      <c r="H203" s="32"/>
      <c r="I203" s="32"/>
      <c r="J203" s="32"/>
      <c r="K203" s="32"/>
    </row>
    <row r="204" spans="1:12" x14ac:dyDescent="0.2">
      <c r="A204" s="28" t="s">
        <v>66</v>
      </c>
      <c r="B204" s="33"/>
      <c r="C204" s="33"/>
      <c r="D204" s="33"/>
      <c r="E204" s="33"/>
      <c r="F204" s="33"/>
      <c r="G204" s="33"/>
      <c r="H204" s="33"/>
      <c r="I204" s="33"/>
      <c r="J204" s="33"/>
      <c r="K204" s="33"/>
    </row>
    <row r="205" spans="1:12" x14ac:dyDescent="0.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</row>
    <row r="206" spans="1:12" x14ac:dyDescent="0.2">
      <c r="A206" s="9" t="s">
        <v>42</v>
      </c>
      <c r="B206" s="9"/>
      <c r="C206" s="9"/>
      <c r="D206" s="9"/>
      <c r="E206" s="9"/>
      <c r="F206" s="10"/>
      <c r="G206" s="9" t="s">
        <v>43</v>
      </c>
      <c r="H206" s="9"/>
      <c r="I206" s="9"/>
      <c r="J206" s="9"/>
      <c r="K206" s="9"/>
    </row>
    <row r="207" spans="1:12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</row>
    <row r="208" spans="1:12" x14ac:dyDescent="0.2">
      <c r="A208" s="12"/>
      <c r="B208" s="12"/>
      <c r="C208" s="12"/>
      <c r="D208" s="12" t="s">
        <v>2</v>
      </c>
      <c r="E208" s="12" t="s">
        <v>3</v>
      </c>
      <c r="F208" s="10"/>
      <c r="G208" s="12"/>
      <c r="H208" s="12"/>
      <c r="I208" s="12"/>
      <c r="J208" s="12" t="s">
        <v>2</v>
      </c>
      <c r="K208" s="12" t="s">
        <v>3</v>
      </c>
    </row>
    <row r="209" spans="1:24" x14ac:dyDescent="0.2">
      <c r="A209" s="13" t="s">
        <v>4</v>
      </c>
      <c r="B209" s="12" t="s">
        <v>5</v>
      </c>
      <c r="C209" s="12" t="s">
        <v>6</v>
      </c>
      <c r="D209" s="12" t="s">
        <v>7</v>
      </c>
      <c r="E209" s="12" t="s">
        <v>8</v>
      </c>
      <c r="F209" s="10"/>
      <c r="G209" s="13" t="s">
        <v>4</v>
      </c>
      <c r="H209" s="12" t="s">
        <v>5</v>
      </c>
      <c r="I209" s="12" t="s">
        <v>6</v>
      </c>
      <c r="J209" s="12" t="s">
        <v>7</v>
      </c>
      <c r="K209" s="12" t="s">
        <v>8</v>
      </c>
    </row>
    <row r="210" spans="1:24" x14ac:dyDescent="0.2">
      <c r="A210" s="13" t="s">
        <v>9</v>
      </c>
      <c r="B210" s="12" t="s">
        <v>10</v>
      </c>
      <c r="C210" s="12" t="s">
        <v>11</v>
      </c>
      <c r="D210" s="12" t="s">
        <v>12</v>
      </c>
      <c r="E210" s="12" t="s">
        <v>13</v>
      </c>
      <c r="F210" s="10"/>
      <c r="G210" s="13" t="s">
        <v>9</v>
      </c>
      <c r="H210" s="12" t="s">
        <v>10</v>
      </c>
      <c r="I210" s="12" t="s">
        <v>11</v>
      </c>
      <c r="J210" s="12" t="s">
        <v>12</v>
      </c>
      <c r="K210" s="12" t="s">
        <v>13</v>
      </c>
    </row>
    <row r="212" spans="1:24" x14ac:dyDescent="0.2">
      <c r="O212" s="5" t="s">
        <v>28</v>
      </c>
    </row>
    <row r="213" spans="1:24" s="11" customFormat="1" x14ac:dyDescent="0.2">
      <c r="A213" s="17" t="s">
        <v>27</v>
      </c>
      <c r="B213" s="17">
        <f>SUM(B215:B224)</f>
        <v>10822</v>
      </c>
      <c r="C213" s="17">
        <f>SUM(C215:C224)</f>
        <v>158606</v>
      </c>
      <c r="D213" s="18">
        <f>SUM(D215:D224)</f>
        <v>1760945475</v>
      </c>
      <c r="E213" s="18">
        <f>11137/3</f>
        <v>3712.3333333333335</v>
      </c>
      <c r="F213" s="17"/>
      <c r="G213" s="17" t="s">
        <v>27</v>
      </c>
      <c r="H213" s="17">
        <f>SUM(H215:H223)</f>
        <v>1356</v>
      </c>
      <c r="I213" s="17">
        <f>SUM(I215:I223)</f>
        <v>26936</v>
      </c>
      <c r="J213" s="18">
        <f>SUM(J215:J223)</f>
        <v>181819828</v>
      </c>
      <c r="K213" s="18">
        <f>6842/3</f>
        <v>2280.6666666666665</v>
      </c>
      <c r="L213" s="17"/>
    </row>
    <row r="214" spans="1:24" x14ac:dyDescent="0.2">
      <c r="A214" s="16" t="s">
        <v>28</v>
      </c>
      <c r="B214" s="16"/>
      <c r="C214" s="16"/>
      <c r="D214" s="16"/>
      <c r="E214" s="16"/>
      <c r="F214" s="16"/>
      <c r="G214" s="16" t="s">
        <v>28</v>
      </c>
      <c r="H214" s="16"/>
      <c r="I214" s="16"/>
      <c r="J214" s="16"/>
      <c r="K214" s="16"/>
      <c r="L214" s="16"/>
    </row>
    <row r="215" spans="1:24" x14ac:dyDescent="0.2">
      <c r="A215" s="16" t="s">
        <v>15</v>
      </c>
      <c r="B215" s="16">
        <v>1094</v>
      </c>
      <c r="C215" s="16">
        <v>0</v>
      </c>
      <c r="D215" s="16">
        <v>10777011</v>
      </c>
      <c r="E215" s="16">
        <f>16848/3</f>
        <v>5616</v>
      </c>
      <c r="F215" s="16"/>
      <c r="G215" s="16" t="s">
        <v>15</v>
      </c>
      <c r="H215" s="16">
        <v>249</v>
      </c>
      <c r="I215" s="16">
        <v>0</v>
      </c>
      <c r="J215" s="16">
        <v>502049</v>
      </c>
      <c r="K215" s="16">
        <f>3803/3</f>
        <v>1267.6666666666667</v>
      </c>
      <c r="L215" s="16"/>
    </row>
    <row r="216" spans="1:24" x14ac:dyDescent="0.2">
      <c r="A216" s="16" t="s">
        <v>16</v>
      </c>
      <c r="B216" s="16">
        <v>5389</v>
      </c>
      <c r="C216" s="16">
        <v>9337</v>
      </c>
      <c r="D216" s="16">
        <v>101237353</v>
      </c>
      <c r="E216" s="16">
        <f>10825/3</f>
        <v>3608.3333333333335</v>
      </c>
      <c r="F216" s="16"/>
      <c r="G216" s="16" t="s">
        <v>16</v>
      </c>
      <c r="H216" s="16">
        <v>518</v>
      </c>
      <c r="I216" s="16">
        <v>911</v>
      </c>
      <c r="J216" s="16">
        <v>9753386</v>
      </c>
      <c r="K216" s="16">
        <f>10946/3</f>
        <v>3648.6666666666665</v>
      </c>
      <c r="L216" s="16"/>
    </row>
    <row r="217" spans="1:24" x14ac:dyDescent="0.2">
      <c r="A217" s="16" t="s">
        <v>17</v>
      </c>
      <c r="B217" s="16">
        <v>1592</v>
      </c>
      <c r="C217" s="16">
        <v>10816</v>
      </c>
      <c r="D217" s="16">
        <v>97364991</v>
      </c>
      <c r="E217" s="16">
        <f>8888/3</f>
        <v>2962.6666666666665</v>
      </c>
      <c r="F217" s="16"/>
      <c r="G217" s="16" t="s">
        <v>17</v>
      </c>
      <c r="H217" s="16">
        <v>190</v>
      </c>
      <c r="I217" s="16">
        <v>1278</v>
      </c>
      <c r="J217" s="16">
        <v>5890906</v>
      </c>
      <c r="K217" s="16">
        <f>4846/3</f>
        <v>1615.3333333333333</v>
      </c>
      <c r="L217" s="16"/>
    </row>
    <row r="218" spans="1:24" x14ac:dyDescent="0.2">
      <c r="A218" s="20" t="s">
        <v>56</v>
      </c>
      <c r="B218" s="16">
        <v>1336</v>
      </c>
      <c r="C218" s="16">
        <v>17999</v>
      </c>
      <c r="D218" s="16">
        <v>148609699</v>
      </c>
      <c r="E218" s="16">
        <f>8340/3</f>
        <v>2780</v>
      </c>
      <c r="F218" s="16"/>
      <c r="G218" s="20" t="s">
        <v>56</v>
      </c>
      <c r="H218" s="16">
        <v>176</v>
      </c>
      <c r="I218" s="16">
        <v>2452</v>
      </c>
      <c r="J218" s="16">
        <v>11353646</v>
      </c>
      <c r="K218" s="16">
        <f>4802/3</f>
        <v>1600.6666666666667</v>
      </c>
      <c r="L218" s="16"/>
    </row>
    <row r="219" spans="1:24" x14ac:dyDescent="0.2">
      <c r="A219" s="16" t="s">
        <v>18</v>
      </c>
      <c r="B219" s="16">
        <v>866</v>
      </c>
      <c r="C219" s="16">
        <v>25500</v>
      </c>
      <c r="D219" s="16">
        <v>238390100</v>
      </c>
      <c r="E219" s="16">
        <f>9408/3</f>
        <v>3136</v>
      </c>
      <c r="F219" s="16"/>
      <c r="G219" s="16" t="s">
        <v>18</v>
      </c>
      <c r="H219" s="16">
        <v>117</v>
      </c>
      <c r="I219" s="16">
        <v>3840</v>
      </c>
      <c r="J219" s="16">
        <v>19333562</v>
      </c>
      <c r="K219" s="16">
        <f>5212/3</f>
        <v>1737.3333333333333</v>
      </c>
      <c r="L219" s="16"/>
    </row>
    <row r="220" spans="1:24" x14ac:dyDescent="0.2">
      <c r="A220" s="16" t="s">
        <v>19</v>
      </c>
      <c r="B220" s="16">
        <v>329</v>
      </c>
      <c r="C220" s="16">
        <v>22780</v>
      </c>
      <c r="D220" s="16">
        <v>210162850</v>
      </c>
      <c r="E220" s="16">
        <f>9283/3</f>
        <v>3094.3333333333335</v>
      </c>
      <c r="F220" s="16"/>
      <c r="G220" s="16" t="s">
        <v>19</v>
      </c>
      <c r="H220" s="16">
        <v>62</v>
      </c>
      <c r="I220" s="16">
        <v>4183</v>
      </c>
      <c r="J220" s="16">
        <v>16121075</v>
      </c>
      <c r="K220" s="16">
        <f>3949/3</f>
        <v>1316.3333333333333</v>
      </c>
      <c r="L220" s="16"/>
    </row>
    <row r="221" spans="1:24" x14ac:dyDescent="0.2">
      <c r="A221" s="16" t="s">
        <v>20</v>
      </c>
      <c r="B221" s="16">
        <v>163</v>
      </c>
      <c r="C221" s="16">
        <v>23870</v>
      </c>
      <c r="D221" s="16">
        <v>230621630</v>
      </c>
      <c r="E221" s="16">
        <f>9741/3</f>
        <v>3247</v>
      </c>
      <c r="F221" s="16"/>
      <c r="G221" s="16" t="s">
        <v>20</v>
      </c>
      <c r="H221" s="16">
        <v>30</v>
      </c>
      <c r="I221" s="16">
        <v>4370</v>
      </c>
      <c r="J221" s="16">
        <v>28044721</v>
      </c>
      <c r="K221" s="16">
        <f>6516/3</f>
        <v>2172</v>
      </c>
      <c r="L221" s="16"/>
    </row>
    <row r="222" spans="1:24" x14ac:dyDescent="0.2">
      <c r="A222" s="16" t="s">
        <v>21</v>
      </c>
      <c r="B222" s="16">
        <v>26</v>
      </c>
      <c r="C222" s="16">
        <v>9048</v>
      </c>
      <c r="D222" s="16">
        <v>125154013</v>
      </c>
      <c r="E222" s="16">
        <f>13924/3</f>
        <v>4641.333333333333</v>
      </c>
      <c r="F222" s="16"/>
      <c r="G222" s="16" t="s">
        <v>21</v>
      </c>
      <c r="H222" s="16">
        <v>7</v>
      </c>
      <c r="I222" s="16">
        <v>2420</v>
      </c>
      <c r="J222" s="16">
        <v>10412505</v>
      </c>
      <c r="K222" s="16">
        <f>4512/3</f>
        <v>1504</v>
      </c>
      <c r="L222" s="16"/>
      <c r="X222" s="4" t="s">
        <v>28</v>
      </c>
    </row>
    <row r="223" spans="1:24" x14ac:dyDescent="0.2">
      <c r="A223" s="16" t="s">
        <v>23</v>
      </c>
      <c r="B223" s="16">
        <v>15</v>
      </c>
      <c r="C223" s="16">
        <v>10578</v>
      </c>
      <c r="D223" s="16">
        <v>131011292</v>
      </c>
      <c r="E223" s="16">
        <f>12683/3</f>
        <v>4227.666666666667</v>
      </c>
      <c r="F223" s="16"/>
      <c r="G223" s="16" t="s">
        <v>31</v>
      </c>
      <c r="H223" s="16">
        <f>5+2</f>
        <v>7</v>
      </c>
      <c r="I223" s="16">
        <f>2966+4516</f>
        <v>7482</v>
      </c>
      <c r="J223" s="16">
        <f>41397485+39010493</f>
        <v>80407978</v>
      </c>
      <c r="K223" s="21">
        <v>3541</v>
      </c>
      <c r="L223" s="16"/>
    </row>
    <row r="224" spans="1:24" x14ac:dyDescent="0.2">
      <c r="A224" s="16" t="s">
        <v>24</v>
      </c>
      <c r="B224" s="16">
        <v>12</v>
      </c>
      <c r="C224" s="16">
        <v>28678</v>
      </c>
      <c r="D224" s="16">
        <v>467616536</v>
      </c>
      <c r="E224" s="16">
        <f>16480/3</f>
        <v>5493.333333333333</v>
      </c>
      <c r="F224" s="16"/>
      <c r="G224" s="16" t="s">
        <v>28</v>
      </c>
      <c r="H224" s="16" t="s">
        <v>28</v>
      </c>
      <c r="I224" s="16"/>
      <c r="J224" s="16" t="s">
        <v>28</v>
      </c>
      <c r="K224" s="16"/>
      <c r="L224" s="16"/>
    </row>
    <row r="227" spans="1:29" x14ac:dyDescent="0.2">
      <c r="A227" s="9" t="s">
        <v>44</v>
      </c>
      <c r="B227" s="9"/>
      <c r="C227" s="9"/>
      <c r="D227" s="9"/>
      <c r="E227" s="9"/>
      <c r="F227" s="10"/>
      <c r="G227" s="9" t="s">
        <v>45</v>
      </c>
      <c r="H227" s="9"/>
      <c r="I227" s="9"/>
      <c r="J227" s="9"/>
      <c r="K227" s="9"/>
    </row>
    <row r="228" spans="1:29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</row>
    <row r="229" spans="1:29" x14ac:dyDescent="0.2">
      <c r="A229" s="12"/>
      <c r="B229" s="12"/>
      <c r="C229" s="12"/>
      <c r="D229" s="12" t="s">
        <v>2</v>
      </c>
      <c r="E229" s="12" t="s">
        <v>3</v>
      </c>
      <c r="F229" s="10"/>
      <c r="G229" s="12"/>
      <c r="H229" s="12"/>
      <c r="I229" s="12"/>
      <c r="J229" s="12" t="s">
        <v>2</v>
      </c>
      <c r="K229" s="12" t="s">
        <v>3</v>
      </c>
    </row>
    <row r="230" spans="1:29" x14ac:dyDescent="0.2">
      <c r="A230" s="13" t="s">
        <v>4</v>
      </c>
      <c r="B230" s="12" t="s">
        <v>5</v>
      </c>
      <c r="C230" s="12" t="s">
        <v>6</v>
      </c>
      <c r="D230" s="12" t="s">
        <v>7</v>
      </c>
      <c r="E230" s="12" t="s">
        <v>8</v>
      </c>
      <c r="F230" s="10"/>
      <c r="G230" s="13" t="s">
        <v>4</v>
      </c>
      <c r="H230" s="12" t="s">
        <v>5</v>
      </c>
      <c r="I230" s="12" t="s">
        <v>6</v>
      </c>
      <c r="J230" s="12" t="s">
        <v>7</v>
      </c>
      <c r="K230" s="12" t="s">
        <v>8</v>
      </c>
    </row>
    <row r="231" spans="1:29" x14ac:dyDescent="0.2">
      <c r="A231" s="13" t="s">
        <v>9</v>
      </c>
      <c r="B231" s="12" t="s">
        <v>10</v>
      </c>
      <c r="C231" s="12" t="s">
        <v>11</v>
      </c>
      <c r="D231" s="12" t="s">
        <v>12</v>
      </c>
      <c r="E231" s="12" t="s">
        <v>13</v>
      </c>
      <c r="F231" s="10"/>
      <c r="G231" s="13" t="s">
        <v>9</v>
      </c>
      <c r="H231" s="12" t="s">
        <v>10</v>
      </c>
      <c r="I231" s="12" t="s">
        <v>11</v>
      </c>
      <c r="J231" s="12" t="s">
        <v>12</v>
      </c>
      <c r="K231" s="12" t="s">
        <v>13</v>
      </c>
    </row>
    <row r="234" spans="1:29" s="11" customFormat="1" x14ac:dyDescent="0.2">
      <c r="A234" s="17" t="s">
        <v>27</v>
      </c>
      <c r="B234" s="17">
        <f>SUM(B236:B244)</f>
        <v>6099</v>
      </c>
      <c r="C234" s="17">
        <f>SUM(C236:C244)</f>
        <v>126477</v>
      </c>
      <c r="D234" s="17">
        <f>SUM(D236:D244)</f>
        <v>588653031</v>
      </c>
      <c r="E234" s="18">
        <f>4734/3</f>
        <v>1578</v>
      </c>
      <c r="F234" s="17"/>
      <c r="G234" s="17" t="s">
        <v>27</v>
      </c>
      <c r="H234" s="17">
        <f>SUM(H236:H244)</f>
        <v>5789</v>
      </c>
      <c r="I234" s="17">
        <f>SUM(I236:I244)</f>
        <v>41893</v>
      </c>
      <c r="J234" s="17">
        <f>SUM(J236:J244)</f>
        <v>373124953</v>
      </c>
      <c r="K234" s="18">
        <v>3002</v>
      </c>
      <c r="L234" s="17"/>
      <c r="M234" s="17"/>
      <c r="AA234" s="38"/>
    </row>
    <row r="235" spans="1:29" x14ac:dyDescent="0.2">
      <c r="A235" s="16" t="s">
        <v>28</v>
      </c>
      <c r="B235" s="16"/>
      <c r="C235" s="16"/>
      <c r="D235" s="16"/>
      <c r="E235" s="16"/>
      <c r="F235" s="16"/>
      <c r="G235" s="16" t="s">
        <v>28</v>
      </c>
      <c r="H235" s="16"/>
      <c r="I235" s="16"/>
      <c r="J235" s="16"/>
      <c r="K235" s="21"/>
      <c r="L235" s="16"/>
      <c r="M235" s="16"/>
    </row>
    <row r="236" spans="1:29" x14ac:dyDescent="0.2">
      <c r="A236" s="16" t="s">
        <v>15</v>
      </c>
      <c r="B236" s="16">
        <v>432</v>
      </c>
      <c r="C236" s="16">
        <v>0</v>
      </c>
      <c r="D236" s="16">
        <v>3693212</v>
      </c>
      <c r="E236" s="16">
        <f>4679/3</f>
        <v>1559.6666666666667</v>
      </c>
      <c r="F236" s="16"/>
      <c r="G236" s="16" t="s">
        <v>15</v>
      </c>
      <c r="H236" s="4">
        <v>540</v>
      </c>
      <c r="I236" s="16">
        <v>0</v>
      </c>
      <c r="J236" s="16">
        <v>1626989</v>
      </c>
      <c r="K236" s="16">
        <v>3491.3927038626612</v>
      </c>
      <c r="L236" s="16"/>
      <c r="M236" s="16"/>
      <c r="O236" s="22"/>
      <c r="P236" s="22"/>
      <c r="Y236" s="39"/>
      <c r="Z236" s="39"/>
      <c r="AA236" s="39"/>
      <c r="AB236" s="39"/>
      <c r="AC236" s="39"/>
    </row>
    <row r="237" spans="1:29" x14ac:dyDescent="0.2">
      <c r="A237" s="16" t="s">
        <v>16</v>
      </c>
      <c r="B237" s="16">
        <v>911</v>
      </c>
      <c r="C237" s="16">
        <v>2275</v>
      </c>
      <c r="D237" s="16">
        <v>15155636</v>
      </c>
      <c r="E237" s="16">
        <f>6526/3</f>
        <v>2175.3333333333335</v>
      </c>
      <c r="F237" s="16"/>
      <c r="G237" s="16" t="s">
        <v>16</v>
      </c>
      <c r="H237" s="4">
        <v>3048</v>
      </c>
      <c r="I237" s="16">
        <v>5822</v>
      </c>
      <c r="J237" s="16">
        <v>51093579</v>
      </c>
      <c r="K237" s="16">
        <v>2960.7451468969116</v>
      </c>
      <c r="L237" s="16"/>
      <c r="M237" s="16"/>
      <c r="O237" s="22"/>
      <c r="P237" s="22"/>
      <c r="Y237" s="39"/>
      <c r="Z237" s="39"/>
      <c r="AA237" s="39"/>
      <c r="AB237" s="39"/>
      <c r="AC237" s="39"/>
    </row>
    <row r="238" spans="1:29" x14ac:dyDescent="0.2">
      <c r="A238" s="16" t="s">
        <v>17</v>
      </c>
      <c r="B238" s="16">
        <v>946</v>
      </c>
      <c r="C238" s="16">
        <v>6630</v>
      </c>
      <c r="D238" s="16">
        <v>26690539</v>
      </c>
      <c r="E238" s="16">
        <f>4160/3</f>
        <v>1386.6666666666667</v>
      </c>
      <c r="F238" s="16"/>
      <c r="G238" s="16" t="s">
        <v>17</v>
      </c>
      <c r="H238" s="4">
        <v>1191</v>
      </c>
      <c r="I238" s="16">
        <v>7960</v>
      </c>
      <c r="J238" s="16">
        <v>61137068</v>
      </c>
      <c r="K238" s="16">
        <v>2582.892606675116</v>
      </c>
      <c r="L238" s="16"/>
      <c r="M238" s="16"/>
      <c r="O238" s="22"/>
      <c r="P238" s="22"/>
      <c r="Y238" s="39"/>
      <c r="Z238" s="39"/>
      <c r="AA238" s="39"/>
      <c r="AB238" s="39"/>
      <c r="AC238" s="39"/>
    </row>
    <row r="239" spans="1:29" x14ac:dyDescent="0.2">
      <c r="A239" s="20" t="s">
        <v>56</v>
      </c>
      <c r="B239" s="16">
        <v>1570</v>
      </c>
      <c r="C239" s="16">
        <v>22601</v>
      </c>
      <c r="D239" s="16">
        <v>87192442</v>
      </c>
      <c r="E239" s="16">
        <f>3945/3</f>
        <v>1315</v>
      </c>
      <c r="F239" s="16"/>
      <c r="G239" s="20" t="s">
        <v>56</v>
      </c>
      <c r="H239" s="4">
        <v>676</v>
      </c>
      <c r="I239" s="16">
        <v>8938</v>
      </c>
      <c r="J239" s="16">
        <v>74114883</v>
      </c>
      <c r="K239" s="16">
        <v>2836.6075857317819</v>
      </c>
      <c r="L239" s="16"/>
      <c r="M239" s="16"/>
      <c r="O239" s="22"/>
      <c r="P239" s="22"/>
      <c r="Y239" s="39"/>
      <c r="Z239" s="39"/>
      <c r="AA239" s="39"/>
      <c r="AB239" s="39"/>
      <c r="AC239" s="39"/>
    </row>
    <row r="240" spans="1:29" x14ac:dyDescent="0.2">
      <c r="A240" s="16" t="s">
        <v>18</v>
      </c>
      <c r="B240" s="16">
        <v>1792</v>
      </c>
      <c r="C240" s="16">
        <v>53136</v>
      </c>
      <c r="D240" s="16">
        <v>214313668</v>
      </c>
      <c r="E240" s="16">
        <f>4156/3</f>
        <v>1385.3333333333333</v>
      </c>
      <c r="F240" s="16"/>
      <c r="G240" s="16" t="s">
        <v>18</v>
      </c>
      <c r="H240" s="4">
        <v>240</v>
      </c>
      <c r="I240" s="16">
        <v>7078</v>
      </c>
      <c r="J240" s="16">
        <v>64082738</v>
      </c>
      <c r="K240" s="16">
        <v>3080.7527522715254</v>
      </c>
      <c r="L240" s="16"/>
      <c r="M240" s="16"/>
      <c r="O240" s="22"/>
      <c r="P240" s="22"/>
      <c r="Y240" s="39"/>
      <c r="Z240" s="39"/>
      <c r="AA240" s="39"/>
      <c r="AB240" s="39"/>
      <c r="AC240" s="39"/>
    </row>
    <row r="241" spans="1:29" x14ac:dyDescent="0.2">
      <c r="A241" s="16" t="s">
        <v>19</v>
      </c>
      <c r="B241" s="16">
        <v>368</v>
      </c>
      <c r="C241" s="16">
        <v>24252</v>
      </c>
      <c r="D241" s="16">
        <v>120160561</v>
      </c>
      <c r="E241" s="16">
        <f>5037/3</f>
        <v>1679</v>
      </c>
      <c r="F241" s="16"/>
      <c r="G241" s="16" t="s">
        <v>19</v>
      </c>
      <c r="H241" s="4">
        <v>61</v>
      </c>
      <c r="I241" s="16">
        <v>4141</v>
      </c>
      <c r="J241" s="16">
        <v>35377439</v>
      </c>
      <c r="K241" s="16">
        <v>2852.3291945497058</v>
      </c>
      <c r="L241" s="16"/>
      <c r="M241" s="16"/>
      <c r="O241" s="22"/>
      <c r="P241" s="22"/>
      <c r="Y241" s="39"/>
      <c r="Z241" s="39"/>
      <c r="AA241" s="39"/>
      <c r="AB241" s="39"/>
      <c r="AC241" s="39"/>
    </row>
    <row r="242" spans="1:29" x14ac:dyDescent="0.2">
      <c r="A242" s="16" t="s">
        <v>20</v>
      </c>
      <c r="B242" s="16">
        <v>61</v>
      </c>
      <c r="C242" s="16">
        <v>8309</v>
      </c>
      <c r="D242" s="16">
        <v>48919780</v>
      </c>
      <c r="E242" s="16">
        <f>6018/3</f>
        <v>2006</v>
      </c>
      <c r="F242" s="16"/>
      <c r="G242" s="16" t="s">
        <v>20</v>
      </c>
      <c r="H242" s="4">
        <v>23</v>
      </c>
      <c r="I242" s="16">
        <v>3287</v>
      </c>
      <c r="J242" s="16">
        <v>36774058</v>
      </c>
      <c r="K242" s="16">
        <v>3759.7441979347714</v>
      </c>
      <c r="L242" s="16"/>
      <c r="M242" s="16"/>
      <c r="O242" s="22"/>
      <c r="P242" s="22"/>
      <c r="Y242" s="39"/>
      <c r="Z242" s="39"/>
      <c r="AA242" s="39"/>
      <c r="AB242" s="39"/>
      <c r="AC242" s="39"/>
    </row>
    <row r="243" spans="1:29" x14ac:dyDescent="0.2">
      <c r="A243" s="16" t="s">
        <v>21</v>
      </c>
      <c r="B243" s="16">
        <v>12</v>
      </c>
      <c r="C243" s="16">
        <v>3611</v>
      </c>
      <c r="D243" s="16">
        <v>24256557</v>
      </c>
      <c r="E243" s="16">
        <f>7046/3</f>
        <v>2348.6666666666665</v>
      </c>
      <c r="F243" s="16"/>
      <c r="G243" s="16" t="s">
        <v>21</v>
      </c>
      <c r="H243" s="4">
        <v>7</v>
      </c>
      <c r="I243" s="16">
        <v>2543</v>
      </c>
      <c r="J243" s="16">
        <v>19610458</v>
      </c>
      <c r="K243" s="16">
        <v>2562.1188920825712</v>
      </c>
      <c r="L243" s="16"/>
      <c r="M243" s="16"/>
      <c r="O243" s="22"/>
      <c r="P243" s="22"/>
      <c r="Y243" s="39"/>
      <c r="Z243" s="39"/>
      <c r="AA243" s="39"/>
      <c r="AB243" s="39"/>
      <c r="AC243" s="39"/>
    </row>
    <row r="244" spans="1:29" x14ac:dyDescent="0.2">
      <c r="A244" s="16" t="s">
        <v>31</v>
      </c>
      <c r="B244" s="16">
        <f>6+1</f>
        <v>7</v>
      </c>
      <c r="C244" s="16">
        <f>4060+1603</f>
        <v>5663</v>
      </c>
      <c r="D244" s="16">
        <f>37528825+10741811</f>
        <v>48270636</v>
      </c>
      <c r="E244" s="21">
        <v>2808</v>
      </c>
      <c r="F244" s="16"/>
      <c r="G244" s="16" t="s">
        <v>54</v>
      </c>
      <c r="H244" s="4">
        <v>3</v>
      </c>
      <c r="I244" s="16">
        <f>2044+80</f>
        <v>2124</v>
      </c>
      <c r="J244" s="16">
        <v>29307741</v>
      </c>
      <c r="K244" s="16">
        <v>4782.5948107049608</v>
      </c>
      <c r="L244" s="16"/>
      <c r="M244" s="16"/>
      <c r="O244" s="22"/>
      <c r="P244" s="22"/>
      <c r="Y244" s="39"/>
      <c r="Z244" s="39"/>
      <c r="AA244" s="39"/>
      <c r="AB244" s="39"/>
      <c r="AC244" s="39"/>
    </row>
    <row r="245" spans="1:29" x14ac:dyDescent="0.2">
      <c r="C245" s="4" t="s">
        <v>28</v>
      </c>
      <c r="O245" s="22"/>
      <c r="P245" s="22"/>
      <c r="Y245" s="39"/>
      <c r="Z245" s="39"/>
      <c r="AA245" s="39"/>
      <c r="AB245" s="39"/>
      <c r="AC245" s="39"/>
    </row>
    <row r="246" spans="1:29" x14ac:dyDescent="0.2">
      <c r="Y246" s="39"/>
      <c r="Z246" s="39"/>
      <c r="AA246" s="39"/>
      <c r="AB246" s="39"/>
      <c r="AC246" s="39"/>
    </row>
    <row r="247" spans="1:29" x14ac:dyDescent="0.2">
      <c r="A247" s="26" t="s">
        <v>64</v>
      </c>
      <c r="B247" s="27"/>
      <c r="C247" s="27"/>
      <c r="D247" s="27"/>
      <c r="E247" s="27"/>
      <c r="F247" s="27"/>
      <c r="G247" s="27"/>
      <c r="H247" s="27"/>
      <c r="I247" s="27"/>
    </row>
    <row r="251" spans="1:29" x14ac:dyDescent="0.2">
      <c r="D251" s="26"/>
      <c r="E251" s="27"/>
      <c r="F251" s="27"/>
      <c r="G251" s="27"/>
      <c r="H251" s="27"/>
    </row>
    <row r="252" spans="1:29" x14ac:dyDescent="0.2">
      <c r="A252" s="28" t="s">
        <v>68</v>
      </c>
      <c r="B252" s="32"/>
      <c r="C252" s="32"/>
      <c r="D252" s="32"/>
      <c r="E252" s="32"/>
      <c r="F252" s="32"/>
      <c r="G252" s="32"/>
      <c r="H252" s="32"/>
      <c r="I252" s="32"/>
      <c r="J252" s="32"/>
      <c r="K252" s="32"/>
    </row>
    <row r="253" spans="1:29" x14ac:dyDescent="0.2">
      <c r="A253" s="28" t="s">
        <v>66</v>
      </c>
      <c r="B253" s="33"/>
      <c r="C253" s="33"/>
      <c r="D253" s="33"/>
      <c r="E253" s="33"/>
      <c r="F253" s="33"/>
      <c r="G253" s="33"/>
      <c r="H253" s="33"/>
      <c r="I253" s="33"/>
      <c r="J253" s="33"/>
      <c r="K253" s="33"/>
    </row>
    <row r="254" spans="1:29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</row>
    <row r="255" spans="1:29" x14ac:dyDescent="0.2">
      <c r="A255" s="9" t="s">
        <v>53</v>
      </c>
      <c r="B255" s="9"/>
      <c r="C255" s="9"/>
      <c r="D255" s="9"/>
      <c r="E255" s="9"/>
      <c r="F255" s="10"/>
      <c r="G255" s="9" t="s">
        <v>46</v>
      </c>
      <c r="H255" s="9"/>
      <c r="I255" s="9"/>
      <c r="J255" s="9"/>
      <c r="K255" s="9"/>
    </row>
    <row r="256" spans="1:29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1" x14ac:dyDescent="0.2">
      <c r="A257" s="12"/>
      <c r="B257" s="12"/>
      <c r="C257" s="12"/>
      <c r="D257" s="12" t="s">
        <v>2</v>
      </c>
      <c r="E257" s="12" t="s">
        <v>3</v>
      </c>
      <c r="F257" s="10"/>
      <c r="G257" s="12"/>
      <c r="H257" s="12"/>
      <c r="I257" s="12"/>
      <c r="J257" s="12" t="s">
        <v>2</v>
      </c>
      <c r="K257" s="12" t="s">
        <v>3</v>
      </c>
    </row>
    <row r="258" spans="1:11" x14ac:dyDescent="0.2">
      <c r="A258" s="13" t="s">
        <v>4</v>
      </c>
      <c r="B258" s="12" t="s">
        <v>5</v>
      </c>
      <c r="C258" s="12" t="s">
        <v>6</v>
      </c>
      <c r="D258" s="12" t="s">
        <v>7</v>
      </c>
      <c r="E258" s="12" t="s">
        <v>8</v>
      </c>
      <c r="F258" s="10"/>
      <c r="G258" s="13" t="s">
        <v>4</v>
      </c>
      <c r="H258" s="12" t="s">
        <v>5</v>
      </c>
      <c r="I258" s="12" t="s">
        <v>6</v>
      </c>
      <c r="J258" s="12" t="s">
        <v>7</v>
      </c>
      <c r="K258" s="12" t="s">
        <v>8</v>
      </c>
    </row>
    <row r="259" spans="1:11" x14ac:dyDescent="0.2">
      <c r="A259" s="13" t="s">
        <v>9</v>
      </c>
      <c r="B259" s="12" t="s">
        <v>10</v>
      </c>
      <c r="C259" s="12" t="s">
        <v>11</v>
      </c>
      <c r="D259" s="12" t="s">
        <v>12</v>
      </c>
      <c r="E259" s="12" t="s">
        <v>13</v>
      </c>
      <c r="F259" s="10"/>
      <c r="G259" s="13" t="s">
        <v>9</v>
      </c>
      <c r="H259" s="12" t="s">
        <v>10</v>
      </c>
      <c r="I259" s="12" t="s">
        <v>11</v>
      </c>
      <c r="J259" s="12" t="s">
        <v>12</v>
      </c>
      <c r="K259" s="12" t="s">
        <v>13</v>
      </c>
    </row>
    <row r="262" spans="1:11" s="11" customFormat="1" x14ac:dyDescent="0.2">
      <c r="A262" s="11" t="s">
        <v>27</v>
      </c>
      <c r="B262" s="11">
        <f>SUM(B264:B273)</f>
        <v>4274</v>
      </c>
      <c r="C262" s="11">
        <f>SUM(C264:C273)</f>
        <v>254278</v>
      </c>
      <c r="D262" s="29">
        <f>SUM( D264:D273)</f>
        <v>2843501120</v>
      </c>
      <c r="E262" s="40">
        <f>11270/3</f>
        <v>3756.6666666666665</v>
      </c>
      <c r="G262" s="11" t="s">
        <v>27</v>
      </c>
      <c r="H262" s="11">
        <f>SUM(H264:H273)</f>
        <v>547</v>
      </c>
      <c r="I262" s="11">
        <f>SUM(I264:I273)</f>
        <v>36492</v>
      </c>
      <c r="J262" s="29">
        <f>SUM(J264:J273)</f>
        <v>616734563</v>
      </c>
      <c r="K262" s="29">
        <f>17234/3</f>
        <v>5744.666666666667</v>
      </c>
    </row>
    <row r="263" spans="1:11" x14ac:dyDescent="0.2">
      <c r="A263" s="4" t="s">
        <v>28</v>
      </c>
      <c r="G263" s="4" t="s">
        <v>28</v>
      </c>
    </row>
    <row r="264" spans="1:11" x14ac:dyDescent="0.2">
      <c r="A264" s="4" t="s">
        <v>15</v>
      </c>
      <c r="B264" s="4">
        <f>SUM(H264,H286,H315)</f>
        <v>96</v>
      </c>
      <c r="C264" s="4">
        <f>SUM(I264,I286,I315)</f>
        <v>0</v>
      </c>
      <c r="D264" s="4">
        <f>SUM(J264,J286,J315)</f>
        <v>84916</v>
      </c>
      <c r="E264" s="4">
        <f>6065/3</f>
        <v>2021.6666666666667</v>
      </c>
      <c r="G264" s="4" t="s">
        <v>15</v>
      </c>
      <c r="H264" s="4">
        <v>18</v>
      </c>
      <c r="I264" s="4">
        <v>0</v>
      </c>
      <c r="J264" s="4">
        <v>5831</v>
      </c>
      <c r="K264" s="4">
        <f>5831/3</f>
        <v>1943.6666666666667</v>
      </c>
    </row>
    <row r="265" spans="1:11" x14ac:dyDescent="0.2">
      <c r="A265" s="4" t="s">
        <v>16</v>
      </c>
      <c r="B265" s="4">
        <f t="shared" ref="B265:D273" si="4">SUM(H265,H287,H316)</f>
        <v>999</v>
      </c>
      <c r="C265" s="4">
        <f t="shared" si="4"/>
        <v>2140</v>
      </c>
      <c r="D265" s="4">
        <f t="shared" si="4"/>
        <v>23458933</v>
      </c>
      <c r="E265" s="4">
        <f>10815/3</f>
        <v>3605</v>
      </c>
      <c r="G265" s="4" t="s">
        <v>16</v>
      </c>
      <c r="H265" s="4">
        <v>227</v>
      </c>
      <c r="I265" s="4">
        <v>445</v>
      </c>
      <c r="J265" s="4">
        <v>6154165</v>
      </c>
      <c r="K265" s="4">
        <f>13595/3</f>
        <v>4531.666666666667</v>
      </c>
    </row>
    <row r="266" spans="1:11" x14ac:dyDescent="0.2">
      <c r="A266" s="4" t="s">
        <v>17</v>
      </c>
      <c r="B266" s="4">
        <f t="shared" si="4"/>
        <v>746</v>
      </c>
      <c r="C266" s="4">
        <f t="shared" si="4"/>
        <v>4952</v>
      </c>
      <c r="D266" s="4">
        <f t="shared" si="4"/>
        <v>46844785</v>
      </c>
      <c r="E266" s="4">
        <f>9492/3</f>
        <v>3164</v>
      </c>
      <c r="G266" s="4" t="s">
        <v>17</v>
      </c>
      <c r="H266" s="4">
        <v>83</v>
      </c>
      <c r="I266" s="4">
        <v>552</v>
      </c>
      <c r="J266" s="4">
        <v>7725749</v>
      </c>
      <c r="K266" s="4">
        <f>14568/3</f>
        <v>4856</v>
      </c>
    </row>
    <row r="267" spans="1:11" x14ac:dyDescent="0.2">
      <c r="A267" s="41" t="s">
        <v>56</v>
      </c>
      <c r="B267" s="4">
        <f t="shared" si="4"/>
        <v>592</v>
      </c>
      <c r="C267" s="4">
        <f t="shared" si="4"/>
        <v>8240</v>
      </c>
      <c r="D267" s="4">
        <f t="shared" si="4"/>
        <v>88349314</v>
      </c>
      <c r="E267" s="4">
        <f>10871/3</f>
        <v>3623.6666666666665</v>
      </c>
      <c r="G267" s="41" t="s">
        <v>56</v>
      </c>
      <c r="H267" s="4">
        <v>75</v>
      </c>
      <c r="I267" s="4">
        <v>1028</v>
      </c>
      <c r="J267" s="4">
        <v>16296967</v>
      </c>
      <c r="K267" s="4">
        <f>17000/3</f>
        <v>5666.666666666667</v>
      </c>
    </row>
    <row r="268" spans="1:11" x14ac:dyDescent="0.2">
      <c r="A268" s="4" t="s">
        <v>18</v>
      </c>
      <c r="B268" s="4">
        <f t="shared" si="4"/>
        <v>702</v>
      </c>
      <c r="C268" s="4">
        <f t="shared" si="4"/>
        <v>23352</v>
      </c>
      <c r="D268" s="4">
        <f t="shared" si="4"/>
        <v>244573975</v>
      </c>
      <c r="E268" s="4">
        <f>10551/3</f>
        <v>3517</v>
      </c>
      <c r="G268" s="4" t="s">
        <v>18</v>
      </c>
      <c r="H268" s="4">
        <v>66</v>
      </c>
      <c r="I268" s="4">
        <v>2099</v>
      </c>
      <c r="J268" s="4">
        <v>32812513</v>
      </c>
      <c r="K268" s="4">
        <f>16653/3</f>
        <v>5551</v>
      </c>
    </row>
    <row r="269" spans="1:11" x14ac:dyDescent="0.2">
      <c r="A269" s="4" t="s">
        <v>19</v>
      </c>
      <c r="B269" s="4">
        <f t="shared" si="4"/>
        <v>745</v>
      </c>
      <c r="C269" s="4">
        <f t="shared" si="4"/>
        <v>52153</v>
      </c>
      <c r="D269" s="4">
        <f t="shared" si="4"/>
        <v>504590458</v>
      </c>
      <c r="E269" s="4">
        <f>9730/3</f>
        <v>3243.3333333333335</v>
      </c>
      <c r="F269" s="4" t="s">
        <v>28</v>
      </c>
      <c r="G269" s="4" t="s">
        <v>19</v>
      </c>
      <c r="H269" s="4">
        <v>43</v>
      </c>
      <c r="I269" s="4">
        <v>3114</v>
      </c>
      <c r="J269" s="4">
        <v>48821183</v>
      </c>
      <c r="K269" s="4">
        <f>16058/3</f>
        <v>5352.666666666667</v>
      </c>
    </row>
    <row r="270" spans="1:11" x14ac:dyDescent="0.2">
      <c r="A270" s="4" t="s">
        <v>20</v>
      </c>
      <c r="B270" s="4">
        <f t="shared" si="4"/>
        <v>289</v>
      </c>
      <c r="C270" s="4">
        <f t="shared" si="4"/>
        <v>43058</v>
      </c>
      <c r="D270" s="4">
        <f t="shared" si="4"/>
        <v>451006554</v>
      </c>
      <c r="E270" s="4">
        <f>10497/3</f>
        <v>3499</v>
      </c>
      <c r="G270" s="4" t="s">
        <v>20</v>
      </c>
      <c r="H270" s="4">
        <v>21</v>
      </c>
      <c r="I270" s="4">
        <v>3280</v>
      </c>
      <c r="J270" s="4">
        <v>61579355</v>
      </c>
      <c r="K270" s="4">
        <f>19682/3</f>
        <v>6560.666666666667</v>
      </c>
    </row>
    <row r="271" spans="1:11" x14ac:dyDescent="0.2">
      <c r="A271" s="4" t="s">
        <v>21</v>
      </c>
      <c r="B271" s="4">
        <f t="shared" si="4"/>
        <v>62</v>
      </c>
      <c r="C271" s="4">
        <f t="shared" si="4"/>
        <v>21273</v>
      </c>
      <c r="D271" s="4">
        <f t="shared" si="4"/>
        <v>244101011</v>
      </c>
      <c r="E271" s="4">
        <f>11521/3</f>
        <v>3840.3333333333335</v>
      </c>
      <c r="G271" s="4" t="s">
        <v>21</v>
      </c>
      <c r="H271" s="4">
        <v>5</v>
      </c>
      <c r="I271" s="4">
        <v>1630</v>
      </c>
      <c r="J271" s="4">
        <v>41304337</v>
      </c>
      <c r="K271" s="4">
        <f>25084/3</f>
        <v>8361.3333333333339</v>
      </c>
    </row>
    <row r="272" spans="1:11" x14ac:dyDescent="0.2">
      <c r="A272" s="4" t="s">
        <v>23</v>
      </c>
      <c r="B272" s="4">
        <f t="shared" si="4"/>
        <v>25</v>
      </c>
      <c r="C272" s="4">
        <f t="shared" si="4"/>
        <v>16628</v>
      </c>
      <c r="D272" s="4">
        <f t="shared" si="4"/>
        <v>171466192</v>
      </c>
      <c r="E272" s="4">
        <f>10388/3</f>
        <v>3462.6666666666665</v>
      </c>
      <c r="G272" s="4" t="s">
        <v>55</v>
      </c>
      <c r="H272" s="4">
        <v>5</v>
      </c>
      <c r="I272" s="4">
        <v>2762</v>
      </c>
      <c r="J272" s="4">
        <v>43460746</v>
      </c>
      <c r="K272" s="4">
        <f>15684/3</f>
        <v>5228</v>
      </c>
    </row>
    <row r="273" spans="1:11" x14ac:dyDescent="0.2">
      <c r="A273" s="4" t="s">
        <v>24</v>
      </c>
      <c r="B273" s="4">
        <f t="shared" si="4"/>
        <v>18</v>
      </c>
      <c r="C273" s="4">
        <f t="shared" si="4"/>
        <v>82482</v>
      </c>
      <c r="D273" s="4">
        <f t="shared" si="4"/>
        <v>1069024982</v>
      </c>
      <c r="E273" s="4">
        <f>13138/3</f>
        <v>4379.333333333333</v>
      </c>
      <c r="G273" s="4" t="s">
        <v>24</v>
      </c>
      <c r="H273" s="4">
        <v>4</v>
      </c>
      <c r="I273" s="4">
        <v>21582</v>
      </c>
      <c r="J273" s="4">
        <v>358573717</v>
      </c>
      <c r="K273" s="4">
        <f>16846/3</f>
        <v>5615.333333333333</v>
      </c>
    </row>
    <row r="277" spans="1:11" x14ac:dyDescent="0.2">
      <c r="A277" s="9" t="s">
        <v>47</v>
      </c>
      <c r="B277" s="9"/>
      <c r="C277" s="9"/>
      <c r="D277" s="9"/>
      <c r="E277" s="9"/>
      <c r="F277" s="10"/>
      <c r="G277" s="9" t="s">
        <v>48</v>
      </c>
      <c r="H277" s="9"/>
      <c r="I277" s="9"/>
      <c r="J277" s="9"/>
      <c r="K277" s="9"/>
    </row>
    <row r="278" spans="1:1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</row>
    <row r="279" spans="1:11" x14ac:dyDescent="0.2">
      <c r="A279" s="12"/>
      <c r="B279" s="12"/>
      <c r="C279" s="12"/>
      <c r="D279" s="12" t="s">
        <v>2</v>
      </c>
      <c r="E279" s="12" t="s">
        <v>3</v>
      </c>
      <c r="F279" s="10"/>
      <c r="G279" s="12"/>
      <c r="H279" s="12"/>
      <c r="I279" s="12"/>
      <c r="J279" s="12" t="s">
        <v>2</v>
      </c>
      <c r="K279" s="12" t="s">
        <v>3</v>
      </c>
    </row>
    <row r="280" spans="1:11" x14ac:dyDescent="0.2">
      <c r="A280" s="13" t="s">
        <v>4</v>
      </c>
      <c r="B280" s="12" t="s">
        <v>5</v>
      </c>
      <c r="C280" s="12" t="s">
        <v>6</v>
      </c>
      <c r="D280" s="12" t="s">
        <v>7</v>
      </c>
      <c r="E280" s="12" t="s">
        <v>8</v>
      </c>
      <c r="F280" s="10"/>
      <c r="G280" s="13" t="s">
        <v>4</v>
      </c>
      <c r="H280" s="12" t="s">
        <v>5</v>
      </c>
      <c r="I280" s="12" t="s">
        <v>6</v>
      </c>
      <c r="J280" s="12" t="s">
        <v>7</v>
      </c>
      <c r="K280" s="12" t="s">
        <v>8</v>
      </c>
    </row>
    <row r="281" spans="1:11" x14ac:dyDescent="0.2">
      <c r="A281" s="13" t="s">
        <v>9</v>
      </c>
      <c r="B281" s="12" t="s">
        <v>10</v>
      </c>
      <c r="C281" s="12" t="s">
        <v>11</v>
      </c>
      <c r="D281" s="12" t="s">
        <v>12</v>
      </c>
      <c r="E281" s="12" t="s">
        <v>13</v>
      </c>
      <c r="F281" s="10"/>
      <c r="G281" s="13" t="s">
        <v>9</v>
      </c>
      <c r="H281" s="12" t="s">
        <v>10</v>
      </c>
      <c r="I281" s="12" t="s">
        <v>11</v>
      </c>
      <c r="J281" s="12" t="s">
        <v>12</v>
      </c>
      <c r="K281" s="12" t="s">
        <v>13</v>
      </c>
    </row>
    <row r="284" spans="1:11" s="11" customFormat="1" x14ac:dyDescent="0.2">
      <c r="A284" s="17" t="s">
        <v>27</v>
      </c>
      <c r="B284" s="17">
        <f>SUM(B286:B297)</f>
        <v>27</v>
      </c>
      <c r="C284" s="17">
        <f>SUM(C286:C297)</f>
        <v>14520</v>
      </c>
      <c r="D284" s="18">
        <f>SUM(D286:D297)</f>
        <v>270535818</v>
      </c>
      <c r="E284" s="18">
        <f>18626/3</f>
        <v>6208.666666666667</v>
      </c>
      <c r="F284" s="17"/>
      <c r="G284" s="17" t="s">
        <v>27</v>
      </c>
      <c r="H284" s="17">
        <f>SUM(H286:H295)</f>
        <v>992</v>
      </c>
      <c r="I284" s="17">
        <f>SUM(I286:I295)</f>
        <v>85711</v>
      </c>
      <c r="J284" s="18">
        <f>SUM(J286:J295)</f>
        <v>983758871</v>
      </c>
      <c r="K284" s="18">
        <f>11588/3</f>
        <v>3862.6666666666665</v>
      </c>
    </row>
    <row r="285" spans="1:11" x14ac:dyDescent="0.2">
      <c r="A285" s="16"/>
      <c r="B285" s="16"/>
      <c r="C285" s="16"/>
      <c r="D285" s="16"/>
      <c r="E285" s="16"/>
      <c r="F285" s="16"/>
      <c r="G285" s="16" t="s">
        <v>28</v>
      </c>
      <c r="H285" s="16"/>
      <c r="I285" s="16"/>
      <c r="J285" s="16"/>
      <c r="K285" s="16"/>
    </row>
    <row r="286" spans="1:11" x14ac:dyDescent="0.2">
      <c r="A286" s="35">
        <v>0</v>
      </c>
      <c r="B286" s="16">
        <v>1</v>
      </c>
      <c r="C286" s="16">
        <v>0</v>
      </c>
      <c r="D286" s="16">
        <v>0</v>
      </c>
      <c r="E286" s="16">
        <v>0</v>
      </c>
      <c r="F286" s="16"/>
      <c r="G286" s="35">
        <v>0</v>
      </c>
      <c r="H286" s="16">
        <v>34</v>
      </c>
      <c r="I286" s="16">
        <v>0</v>
      </c>
      <c r="J286" s="21">
        <v>11855</v>
      </c>
      <c r="K286" s="21">
        <f>7113/3</f>
        <v>2371</v>
      </c>
    </row>
    <row r="287" spans="1:11" x14ac:dyDescent="0.2">
      <c r="A287" s="20" t="s">
        <v>16</v>
      </c>
      <c r="B287" s="16">
        <v>7</v>
      </c>
      <c r="C287" s="16">
        <v>21</v>
      </c>
      <c r="D287" s="16">
        <v>349706</v>
      </c>
      <c r="E287" s="16">
        <f>18405/3</f>
        <v>6135</v>
      </c>
      <c r="F287" s="16"/>
      <c r="G287" s="20" t="s">
        <v>16</v>
      </c>
      <c r="H287" s="16">
        <v>369</v>
      </c>
      <c r="I287" s="16">
        <v>709</v>
      </c>
      <c r="J287" s="16">
        <v>8634712</v>
      </c>
      <c r="K287" s="16">
        <f>12190/3</f>
        <v>4063.3333333333335</v>
      </c>
    </row>
    <row r="288" spans="1:11" x14ac:dyDescent="0.2">
      <c r="A288" s="16" t="s">
        <v>17</v>
      </c>
      <c r="B288" s="16">
        <v>3</v>
      </c>
      <c r="C288" s="16">
        <v>18</v>
      </c>
      <c r="D288" s="16">
        <v>308213</v>
      </c>
      <c r="E288" s="16">
        <f>17446/3</f>
        <v>5815.333333333333</v>
      </c>
      <c r="F288" s="16"/>
      <c r="G288" s="16" t="s">
        <v>17</v>
      </c>
      <c r="H288" s="16">
        <v>184</v>
      </c>
      <c r="I288" s="16">
        <v>1223</v>
      </c>
      <c r="J288" s="16">
        <v>12915532</v>
      </c>
      <c r="K288" s="16">
        <f>10581/3</f>
        <v>3527</v>
      </c>
    </row>
    <row r="289" spans="1:11" x14ac:dyDescent="0.2">
      <c r="A289" s="20" t="s">
        <v>56</v>
      </c>
      <c r="B289" s="16">
        <v>2</v>
      </c>
      <c r="C289" s="16">
        <v>29</v>
      </c>
      <c r="D289" s="16">
        <v>507760</v>
      </c>
      <c r="E289" s="16">
        <f>17310/3</f>
        <v>5770</v>
      </c>
      <c r="F289" s="16"/>
      <c r="G289" s="20" t="s">
        <v>56</v>
      </c>
      <c r="H289" s="16">
        <v>159</v>
      </c>
      <c r="I289" s="16">
        <v>2251</v>
      </c>
      <c r="J289" s="16">
        <v>22050553</v>
      </c>
      <c r="K289" s="16">
        <f>9887/3</f>
        <v>3295.6666666666665</v>
      </c>
    </row>
    <row r="290" spans="1:11" x14ac:dyDescent="0.2">
      <c r="A290" s="16" t="s">
        <v>18</v>
      </c>
      <c r="B290" s="16">
        <v>4</v>
      </c>
      <c r="C290" s="16">
        <v>131</v>
      </c>
      <c r="D290" s="16">
        <v>2107004</v>
      </c>
      <c r="E290" s="16">
        <f>16590/3</f>
        <v>5530</v>
      </c>
      <c r="F290" s="16"/>
      <c r="G290" s="16" t="s">
        <v>18</v>
      </c>
      <c r="H290" s="16">
        <v>113</v>
      </c>
      <c r="I290" s="16">
        <v>3654</v>
      </c>
      <c r="J290" s="16">
        <v>37923943</v>
      </c>
      <c r="K290" s="16">
        <f>10426/3</f>
        <v>3475.3333333333335</v>
      </c>
    </row>
    <row r="291" spans="1:11" x14ac:dyDescent="0.2">
      <c r="A291" s="16" t="s">
        <v>19</v>
      </c>
      <c r="B291" s="16">
        <v>3</v>
      </c>
      <c r="C291" s="16">
        <v>175</v>
      </c>
      <c r="D291" s="16">
        <v>2916701</v>
      </c>
      <c r="E291" s="16">
        <f>16859/3</f>
        <v>5619.666666666667</v>
      </c>
      <c r="F291" s="16"/>
      <c r="G291" s="16" t="s">
        <v>19</v>
      </c>
      <c r="H291" s="16">
        <v>62</v>
      </c>
      <c r="I291" s="16">
        <v>4272</v>
      </c>
      <c r="J291" s="16">
        <v>49012517</v>
      </c>
      <c r="K291" s="16">
        <f>11573/3</f>
        <v>3857.6666666666665</v>
      </c>
    </row>
    <row r="292" spans="1:11" x14ac:dyDescent="0.2">
      <c r="A292" s="16" t="s">
        <v>20</v>
      </c>
      <c r="B292" s="16">
        <v>3</v>
      </c>
      <c r="C292" s="16">
        <v>486</v>
      </c>
      <c r="D292" s="16">
        <v>9339087</v>
      </c>
      <c r="E292" s="16">
        <f>19269/3</f>
        <v>6423</v>
      </c>
      <c r="F292" s="16"/>
      <c r="G292" s="16" t="s">
        <v>20</v>
      </c>
      <c r="H292" s="16">
        <v>28</v>
      </c>
      <c r="I292" s="16">
        <v>4592</v>
      </c>
      <c r="J292" s="16">
        <v>49209705</v>
      </c>
      <c r="K292" s="16">
        <f>10612/3</f>
        <v>3537.3333333333335</v>
      </c>
    </row>
    <row r="293" spans="1:11" x14ac:dyDescent="0.2">
      <c r="A293" s="16" t="s">
        <v>21</v>
      </c>
      <c r="B293" s="16">
        <v>1</v>
      </c>
      <c r="C293" s="16">
        <v>368</v>
      </c>
      <c r="D293" s="16">
        <v>8522002</v>
      </c>
      <c r="E293" s="16">
        <f>22665/3</f>
        <v>7555</v>
      </c>
      <c r="F293" s="16"/>
      <c r="G293" s="16" t="s">
        <v>21</v>
      </c>
      <c r="H293" s="16">
        <v>19</v>
      </c>
      <c r="I293" s="16">
        <v>7027</v>
      </c>
      <c r="J293" s="16">
        <v>82776702</v>
      </c>
      <c r="K293" s="16">
        <f>11891/3</f>
        <v>3963.6666666666665</v>
      </c>
    </row>
    <row r="294" spans="1:11" x14ac:dyDescent="0.2">
      <c r="A294" s="16" t="s">
        <v>23</v>
      </c>
      <c r="B294" s="16">
        <v>2</v>
      </c>
      <c r="C294" s="16">
        <v>1048</v>
      </c>
      <c r="D294" s="16">
        <v>18522130</v>
      </c>
      <c r="E294" s="16">
        <f>17646/3</f>
        <v>5882</v>
      </c>
      <c r="F294" s="16"/>
      <c r="G294" s="16" t="s">
        <v>23</v>
      </c>
      <c r="H294" s="16">
        <v>11</v>
      </c>
      <c r="I294" s="16">
        <v>7203</v>
      </c>
      <c r="J294" s="16">
        <v>68472907</v>
      </c>
      <c r="K294" s="16">
        <f>9566/3</f>
        <v>3188.6666666666665</v>
      </c>
    </row>
    <row r="295" spans="1:11" x14ac:dyDescent="0.2">
      <c r="A295" s="16" t="s">
        <v>24</v>
      </c>
      <c r="B295" s="16">
        <v>1</v>
      </c>
      <c r="C295" s="16">
        <v>12244</v>
      </c>
      <c r="D295" s="16">
        <v>227963215</v>
      </c>
      <c r="E295" s="16">
        <f>18612/3</f>
        <v>6204</v>
      </c>
      <c r="F295" s="16"/>
      <c r="G295" s="16" t="s">
        <v>24</v>
      </c>
      <c r="H295" s="16">
        <v>13</v>
      </c>
      <c r="I295" s="16">
        <v>54780</v>
      </c>
      <c r="J295" s="16">
        <v>652750445</v>
      </c>
      <c r="K295" s="16">
        <f>12065/3</f>
        <v>4021.6666666666665</v>
      </c>
    </row>
    <row r="296" spans="1:11" x14ac:dyDescent="0.2">
      <c r="B296" s="22"/>
      <c r="C296" s="22"/>
      <c r="D296" s="22"/>
      <c r="E296" s="22"/>
    </row>
    <row r="297" spans="1:11" x14ac:dyDescent="0.2">
      <c r="A297" s="26" t="s">
        <v>64</v>
      </c>
      <c r="B297" s="27"/>
      <c r="C297" s="27"/>
      <c r="D297" s="27"/>
      <c r="E297" s="27"/>
      <c r="F297" s="27"/>
      <c r="G297" s="27"/>
      <c r="H297" s="27"/>
      <c r="I297" s="27"/>
    </row>
    <row r="302" spans="1:11" x14ac:dyDescent="0.2">
      <c r="D302" s="26"/>
      <c r="E302" s="27"/>
      <c r="F302" s="27"/>
      <c r="G302" s="27"/>
      <c r="H302" s="27"/>
    </row>
    <row r="303" spans="1:11" x14ac:dyDescent="0.2">
      <c r="A303" s="28" t="s">
        <v>68</v>
      </c>
      <c r="B303" s="32"/>
      <c r="C303" s="32"/>
      <c r="D303" s="32"/>
      <c r="E303" s="32"/>
      <c r="F303" s="32"/>
      <c r="G303" s="32"/>
      <c r="H303" s="32"/>
      <c r="I303" s="32"/>
      <c r="J303" s="32"/>
      <c r="K303" s="32"/>
    </row>
    <row r="304" spans="1:11" x14ac:dyDescent="0.2">
      <c r="A304" s="28" t="s">
        <v>66</v>
      </c>
      <c r="B304" s="33"/>
      <c r="C304" s="33"/>
      <c r="D304" s="33"/>
      <c r="E304" s="33"/>
      <c r="F304" s="33"/>
      <c r="G304" s="33"/>
      <c r="H304" s="33"/>
      <c r="I304" s="33"/>
      <c r="J304" s="33"/>
      <c r="K304" s="33"/>
    </row>
    <row r="305" spans="1:11" x14ac:dyDescent="0.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</row>
    <row r="306" spans="1:11" x14ac:dyDescent="0.2">
      <c r="A306" s="9" t="s">
        <v>49</v>
      </c>
      <c r="B306" s="9"/>
      <c r="C306" s="9"/>
      <c r="D306" s="9"/>
      <c r="E306" s="9"/>
      <c r="F306" s="10"/>
      <c r="G306" s="9" t="s">
        <v>50</v>
      </c>
      <c r="H306" s="9"/>
      <c r="I306" s="9"/>
      <c r="J306" s="9"/>
      <c r="K306" s="9"/>
    </row>
    <row r="307" spans="1:1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</row>
    <row r="308" spans="1:11" x14ac:dyDescent="0.2">
      <c r="A308" s="12"/>
      <c r="B308" s="12"/>
      <c r="C308" s="12"/>
      <c r="D308" s="12" t="s">
        <v>2</v>
      </c>
      <c r="E308" s="12" t="s">
        <v>3</v>
      </c>
      <c r="F308" s="10"/>
      <c r="G308" s="12"/>
      <c r="H308" s="12"/>
      <c r="I308" s="12"/>
      <c r="J308" s="12" t="s">
        <v>2</v>
      </c>
      <c r="K308" s="12" t="s">
        <v>3</v>
      </c>
    </row>
    <row r="309" spans="1:11" x14ac:dyDescent="0.2">
      <c r="A309" s="13" t="s">
        <v>4</v>
      </c>
      <c r="B309" s="12" t="s">
        <v>5</v>
      </c>
      <c r="C309" s="12" t="s">
        <v>6</v>
      </c>
      <c r="D309" s="12" t="s">
        <v>7</v>
      </c>
      <c r="E309" s="12" t="s">
        <v>8</v>
      </c>
      <c r="F309" s="10"/>
      <c r="G309" s="13" t="s">
        <v>4</v>
      </c>
      <c r="H309" s="12" t="s">
        <v>5</v>
      </c>
      <c r="I309" s="12" t="s">
        <v>6</v>
      </c>
      <c r="J309" s="12" t="s">
        <v>7</v>
      </c>
      <c r="K309" s="12" t="s">
        <v>8</v>
      </c>
    </row>
    <row r="310" spans="1:11" x14ac:dyDescent="0.2">
      <c r="A310" s="13" t="s">
        <v>9</v>
      </c>
      <c r="B310" s="12" t="s">
        <v>10</v>
      </c>
      <c r="C310" s="12" t="s">
        <v>11</v>
      </c>
      <c r="D310" s="12" t="s">
        <v>12</v>
      </c>
      <c r="E310" s="12" t="s">
        <v>13</v>
      </c>
      <c r="F310" s="10"/>
      <c r="G310" s="13" t="s">
        <v>9</v>
      </c>
      <c r="H310" s="12" t="s">
        <v>10</v>
      </c>
      <c r="I310" s="12" t="s">
        <v>11</v>
      </c>
      <c r="J310" s="12" t="s">
        <v>12</v>
      </c>
      <c r="K310" s="12" t="s">
        <v>13</v>
      </c>
    </row>
    <row r="313" spans="1:11" s="11" customFormat="1" x14ac:dyDescent="0.2">
      <c r="A313" s="17" t="s">
        <v>27</v>
      </c>
      <c r="B313" s="17">
        <f>SUM(B315:B324)</f>
        <v>53</v>
      </c>
      <c r="C313" s="17">
        <f>SUM(C315:C324)</f>
        <v>52378</v>
      </c>
      <c r="D313" s="18">
        <f>SUM(D315:D324)</f>
        <v>556150818</v>
      </c>
      <c r="E313" s="18">
        <f>10778/3</f>
        <v>3592.6666666666665</v>
      </c>
      <c r="F313" s="17"/>
      <c r="G313" s="17" t="s">
        <v>27</v>
      </c>
      <c r="H313" s="17">
        <f>SUM(H315:H325)</f>
        <v>2735</v>
      </c>
      <c r="I313" s="17">
        <f>SUM(I315:I325)</f>
        <v>132075</v>
      </c>
      <c r="J313" s="18">
        <f>SUM(J315:J324)</f>
        <v>1243007686</v>
      </c>
      <c r="K313" s="18">
        <f>9443/3</f>
        <v>3147.6666666666665</v>
      </c>
    </row>
    <row r="314" spans="1:11" x14ac:dyDescent="0.2">
      <c r="A314" s="16" t="s">
        <v>28</v>
      </c>
      <c r="B314" s="16"/>
      <c r="C314" s="16"/>
      <c r="D314" s="16"/>
      <c r="E314" s="16"/>
      <c r="F314" s="16"/>
      <c r="G314" s="16" t="s">
        <v>28</v>
      </c>
      <c r="H314" s="16"/>
      <c r="I314" s="16"/>
      <c r="J314" s="16"/>
      <c r="K314" s="16"/>
    </row>
    <row r="315" spans="1:11" x14ac:dyDescent="0.2">
      <c r="A315" s="35">
        <v>0</v>
      </c>
      <c r="B315" s="16">
        <v>4</v>
      </c>
      <c r="C315" s="16">
        <v>0</v>
      </c>
      <c r="D315" s="21">
        <v>696</v>
      </c>
      <c r="E315" s="16">
        <f>1044/3</f>
        <v>348</v>
      </c>
      <c r="F315" s="16"/>
      <c r="G315" s="16" t="s">
        <v>15</v>
      </c>
      <c r="H315" s="16">
        <v>44</v>
      </c>
      <c r="I315" s="16">
        <v>0</v>
      </c>
      <c r="J315" s="16">
        <v>67230</v>
      </c>
      <c r="K315" s="16">
        <f>5932/3</f>
        <v>1977.3333333333333</v>
      </c>
    </row>
    <row r="316" spans="1:11" x14ac:dyDescent="0.2">
      <c r="A316" s="20" t="s">
        <v>16</v>
      </c>
      <c r="B316" s="16">
        <v>5</v>
      </c>
      <c r="C316" s="16">
        <v>9</v>
      </c>
      <c r="D316" s="16">
        <v>145344</v>
      </c>
      <c r="E316" s="16">
        <f>16149/3</f>
        <v>5383</v>
      </c>
      <c r="F316" s="16"/>
      <c r="G316" s="16" t="s">
        <v>16</v>
      </c>
      <c r="H316" s="16">
        <v>403</v>
      </c>
      <c r="I316" s="16">
        <v>986</v>
      </c>
      <c r="J316" s="16">
        <v>8670056</v>
      </c>
      <c r="K316" s="16">
        <f>8601/3</f>
        <v>2867</v>
      </c>
    </row>
    <row r="317" spans="1:11" x14ac:dyDescent="0.2">
      <c r="A317" s="16" t="s">
        <v>17</v>
      </c>
      <c r="B317" s="16">
        <v>1</v>
      </c>
      <c r="C317" s="16">
        <v>9</v>
      </c>
      <c r="D317" s="16">
        <v>65658</v>
      </c>
      <c r="E317" s="42">
        <f>7576/3</f>
        <v>2525.3333333333335</v>
      </c>
      <c r="F317" s="16"/>
      <c r="G317" s="16" t="s">
        <v>17</v>
      </c>
      <c r="H317" s="16">
        <v>479</v>
      </c>
      <c r="I317" s="16">
        <v>3177</v>
      </c>
      <c r="J317" s="16">
        <v>26203504</v>
      </c>
      <c r="K317" s="16">
        <f>8230/3</f>
        <v>2743.3333333333335</v>
      </c>
    </row>
    <row r="318" spans="1:11" x14ac:dyDescent="0.2">
      <c r="A318" s="20" t="s">
        <v>56</v>
      </c>
      <c r="B318" s="16">
        <v>5</v>
      </c>
      <c r="C318" s="16">
        <v>59</v>
      </c>
      <c r="D318" s="16">
        <v>529311</v>
      </c>
      <c r="E318" s="16">
        <f>9074/3</f>
        <v>3024.6666666666665</v>
      </c>
      <c r="F318" s="16"/>
      <c r="G318" s="20" t="s">
        <v>56</v>
      </c>
      <c r="H318" s="16">
        <v>358</v>
      </c>
      <c r="I318" s="16">
        <v>4961</v>
      </c>
      <c r="J318" s="16">
        <v>50001794</v>
      </c>
      <c r="K318" s="16">
        <f>10125/3</f>
        <v>3375</v>
      </c>
    </row>
    <row r="319" spans="1:11" x14ac:dyDescent="0.2">
      <c r="A319" s="16" t="s">
        <v>18</v>
      </c>
      <c r="B319" s="16">
        <v>2</v>
      </c>
      <c r="C319" s="16">
        <v>79</v>
      </c>
      <c r="D319" s="16">
        <v>516022</v>
      </c>
      <c r="E319" s="16">
        <f>6760/3</f>
        <v>2253.3333333333335</v>
      </c>
      <c r="F319" s="16"/>
      <c r="G319" s="16" t="s">
        <v>18</v>
      </c>
      <c r="H319" s="16">
        <v>523</v>
      </c>
      <c r="I319" s="16">
        <v>17599</v>
      </c>
      <c r="J319" s="16">
        <v>173837519</v>
      </c>
      <c r="K319" s="16">
        <f>9893/3</f>
        <v>3297.6666666666665</v>
      </c>
    </row>
    <row r="320" spans="1:11" x14ac:dyDescent="0.2">
      <c r="A320" s="16" t="s">
        <v>19</v>
      </c>
      <c r="B320" s="16">
        <v>9</v>
      </c>
      <c r="C320" s="16">
        <v>619</v>
      </c>
      <c r="D320" s="16">
        <v>4557343</v>
      </c>
      <c r="E320" s="16">
        <f>7487/3</f>
        <v>2495.6666666666665</v>
      </c>
      <c r="F320" s="16"/>
      <c r="G320" s="16" t="s">
        <v>19</v>
      </c>
      <c r="H320" s="16">
        <v>640</v>
      </c>
      <c r="I320" s="16">
        <v>44767</v>
      </c>
      <c r="J320" s="16">
        <v>406756758</v>
      </c>
      <c r="K320" s="16">
        <f>9123/3</f>
        <v>3041</v>
      </c>
    </row>
    <row r="321" spans="1:11" x14ac:dyDescent="0.2">
      <c r="A321" s="16" t="s">
        <v>20</v>
      </c>
      <c r="B321" s="16">
        <v>6</v>
      </c>
      <c r="C321" s="16">
        <v>1027</v>
      </c>
      <c r="D321" s="16">
        <v>6073816</v>
      </c>
      <c r="E321" s="16">
        <f>6062/3</f>
        <v>2020.6666666666667</v>
      </c>
      <c r="F321" s="16"/>
      <c r="G321" s="16" t="s">
        <v>20</v>
      </c>
      <c r="H321" s="16">
        <v>240</v>
      </c>
      <c r="I321" s="16">
        <v>35186</v>
      </c>
      <c r="J321" s="16">
        <v>340217494</v>
      </c>
      <c r="K321" s="16">
        <f>9666/3</f>
        <v>3222</v>
      </c>
    </row>
    <row r="322" spans="1:11" x14ac:dyDescent="0.2">
      <c r="A322" s="16" t="s">
        <v>21</v>
      </c>
      <c r="B322" s="16">
        <v>5</v>
      </c>
      <c r="C322" s="16">
        <v>1588</v>
      </c>
      <c r="D322" s="16">
        <v>11403048</v>
      </c>
      <c r="E322" s="16">
        <f>7278/3</f>
        <v>2426</v>
      </c>
      <c r="F322" s="16"/>
      <c r="G322" s="16" t="s">
        <v>21</v>
      </c>
      <c r="H322" s="16">
        <v>38</v>
      </c>
      <c r="I322" s="16">
        <v>12616</v>
      </c>
      <c r="J322" s="16">
        <v>120019972</v>
      </c>
      <c r="K322" s="16">
        <f>9541/3</f>
        <v>3180.3333333333335</v>
      </c>
    </row>
    <row r="323" spans="1:11" x14ac:dyDescent="0.2">
      <c r="A323" s="16" t="s">
        <v>23</v>
      </c>
      <c r="B323" s="16">
        <v>4</v>
      </c>
      <c r="C323" s="16">
        <v>2307</v>
      </c>
      <c r="D323" s="16">
        <v>10152609</v>
      </c>
      <c r="E323" s="16">
        <f>4466/3</f>
        <v>1488.6666666666667</v>
      </c>
      <c r="F323" s="16"/>
      <c r="G323" s="16" t="s">
        <v>23</v>
      </c>
      <c r="H323" s="16">
        <v>9</v>
      </c>
      <c r="I323" s="16">
        <v>6663</v>
      </c>
      <c r="J323" s="16">
        <v>59532539</v>
      </c>
      <c r="K323" s="16">
        <f>9052/3</f>
        <v>3017.3333333333335</v>
      </c>
    </row>
    <row r="324" spans="1:11" x14ac:dyDescent="0.2">
      <c r="A324" s="16" t="s">
        <v>24</v>
      </c>
      <c r="B324" s="16">
        <v>12</v>
      </c>
      <c r="C324" s="16">
        <v>46681</v>
      </c>
      <c r="D324" s="16">
        <v>522706971</v>
      </c>
      <c r="E324" s="16">
        <f>11364/3</f>
        <v>3788</v>
      </c>
      <c r="F324" s="16"/>
      <c r="G324" s="16" t="s">
        <v>24</v>
      </c>
      <c r="H324" s="16">
        <v>1</v>
      </c>
      <c r="I324" s="16">
        <v>6120</v>
      </c>
      <c r="J324" s="16">
        <v>57700820</v>
      </c>
      <c r="K324" s="16">
        <f>9648/3</f>
        <v>3216</v>
      </c>
    </row>
    <row r="325" spans="1:11" x14ac:dyDescent="0.2">
      <c r="E325" s="4" t="s">
        <v>28</v>
      </c>
    </row>
    <row r="328" spans="1:11" x14ac:dyDescent="0.2">
      <c r="A328" s="9" t="s">
        <v>51</v>
      </c>
      <c r="B328" s="9"/>
      <c r="C328" s="9"/>
      <c r="D328" s="9"/>
      <c r="E328" s="9"/>
      <c r="F328" s="10"/>
      <c r="G328" s="9" t="s">
        <v>52</v>
      </c>
      <c r="H328" s="9"/>
      <c r="I328" s="9"/>
      <c r="J328" s="9"/>
      <c r="K328" s="9"/>
    </row>
    <row r="329" spans="1:1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</row>
    <row r="330" spans="1:11" x14ac:dyDescent="0.2">
      <c r="A330" s="12"/>
      <c r="B330" s="12"/>
      <c r="C330" s="12"/>
      <c r="D330" s="12" t="s">
        <v>2</v>
      </c>
      <c r="E330" s="12" t="s">
        <v>3</v>
      </c>
      <c r="F330" s="10"/>
      <c r="G330" s="12"/>
      <c r="H330" s="12"/>
      <c r="I330" s="12"/>
      <c r="J330" s="12" t="s">
        <v>2</v>
      </c>
      <c r="K330" s="12" t="s">
        <v>3</v>
      </c>
    </row>
    <row r="331" spans="1:11" x14ac:dyDescent="0.2">
      <c r="A331" s="13" t="s">
        <v>4</v>
      </c>
      <c r="B331" s="12" t="s">
        <v>5</v>
      </c>
      <c r="C331" s="12" t="s">
        <v>6</v>
      </c>
      <c r="D331" s="12" t="s">
        <v>7</v>
      </c>
      <c r="E331" s="12" t="s">
        <v>8</v>
      </c>
      <c r="F331" s="10"/>
      <c r="G331" s="13" t="s">
        <v>4</v>
      </c>
      <c r="H331" s="12" t="s">
        <v>5</v>
      </c>
      <c r="I331" s="12" t="s">
        <v>6</v>
      </c>
      <c r="J331" s="12" t="s">
        <v>7</v>
      </c>
      <c r="K331" s="12" t="s">
        <v>8</v>
      </c>
    </row>
    <row r="332" spans="1:11" x14ac:dyDescent="0.2">
      <c r="A332" s="13" t="s">
        <v>9</v>
      </c>
      <c r="B332" s="12" t="s">
        <v>10</v>
      </c>
      <c r="C332" s="12" t="s">
        <v>11</v>
      </c>
      <c r="D332" s="12" t="s">
        <v>12</v>
      </c>
      <c r="E332" s="12" t="s">
        <v>13</v>
      </c>
      <c r="F332" s="10"/>
      <c r="G332" s="13" t="s">
        <v>9</v>
      </c>
      <c r="H332" s="12" t="s">
        <v>10</v>
      </c>
      <c r="I332" s="12" t="s">
        <v>11</v>
      </c>
      <c r="J332" s="12" t="s">
        <v>12</v>
      </c>
      <c r="K332" s="12" t="s">
        <v>13</v>
      </c>
    </row>
    <row r="335" spans="1:11" s="11" customFormat="1" x14ac:dyDescent="0.2">
      <c r="A335" s="17" t="s">
        <v>27</v>
      </c>
      <c r="B335" s="17">
        <f>SUM(B337:B346)</f>
        <v>1042</v>
      </c>
      <c r="C335" s="17">
        <f>SUM(C337:C346)</f>
        <v>75164</v>
      </c>
      <c r="D335" s="18">
        <f>SUM(D337:D346)</f>
        <v>665427910</v>
      </c>
      <c r="E335" s="18">
        <f>8905/3</f>
        <v>2968.3333333333335</v>
      </c>
      <c r="F335" s="17"/>
      <c r="G335" s="17" t="s">
        <v>27</v>
      </c>
      <c r="H335" s="17">
        <f>SUM(H337:H346)</f>
        <v>100306</v>
      </c>
      <c r="I335" s="17">
        <f>SUM(I337:I346)</f>
        <v>1289253</v>
      </c>
      <c r="J335" s="18">
        <f>SUM(J337:J346)</f>
        <v>16272981390</v>
      </c>
      <c r="K335" s="18">
        <f>12694/3</f>
        <v>4231.333333333333</v>
      </c>
    </row>
    <row r="336" spans="1:11" x14ac:dyDescent="0.2">
      <c r="A336" s="16" t="s">
        <v>28</v>
      </c>
      <c r="B336" s="16"/>
      <c r="C336" s="16"/>
      <c r="D336" s="16"/>
      <c r="E336" s="16"/>
      <c r="F336" s="16"/>
      <c r="G336" s="16" t="s">
        <v>28</v>
      </c>
      <c r="H336" s="16"/>
      <c r="I336" s="16"/>
      <c r="J336" s="16"/>
      <c r="K336" s="16"/>
    </row>
    <row r="337" spans="1:11" x14ac:dyDescent="0.2">
      <c r="A337" s="35">
        <v>0</v>
      </c>
      <c r="B337" s="16">
        <v>7</v>
      </c>
      <c r="C337" s="16">
        <v>0</v>
      </c>
      <c r="D337" s="16">
        <v>20509</v>
      </c>
      <c r="E337" s="16">
        <f>20509/3</f>
        <v>6836.333333333333</v>
      </c>
      <c r="F337" s="16"/>
      <c r="G337" s="16" t="s">
        <v>15</v>
      </c>
      <c r="H337" s="16">
        <v>13840</v>
      </c>
      <c r="I337" s="16">
        <v>0</v>
      </c>
      <c r="J337" s="16">
        <v>67168212</v>
      </c>
      <c r="K337" s="16">
        <f>13109/3</f>
        <v>4369.666666666667</v>
      </c>
    </row>
    <row r="338" spans="1:11" x14ac:dyDescent="0.2">
      <c r="A338" s="20" t="s">
        <v>16</v>
      </c>
      <c r="B338" s="16">
        <v>30</v>
      </c>
      <c r="C338" s="16">
        <v>61</v>
      </c>
      <c r="D338" s="16">
        <v>512060</v>
      </c>
      <c r="E338" s="16">
        <f>8828/3</f>
        <v>2942.6666666666665</v>
      </c>
      <c r="F338" s="16"/>
      <c r="G338" s="16" t="s">
        <v>16</v>
      </c>
      <c r="H338" s="16">
        <v>48153</v>
      </c>
      <c r="I338" s="16">
        <v>86641</v>
      </c>
      <c r="J338" s="16">
        <v>1166390461</v>
      </c>
      <c r="K338" s="16">
        <f>13616/3</f>
        <v>4538.666666666667</v>
      </c>
    </row>
    <row r="339" spans="1:11" x14ac:dyDescent="0.2">
      <c r="A339" s="16" t="s">
        <v>17</v>
      </c>
      <c r="B339" s="16">
        <v>57</v>
      </c>
      <c r="C339" s="16">
        <v>365</v>
      </c>
      <c r="D339" s="16">
        <v>2150265</v>
      </c>
      <c r="E339" s="16">
        <f>5918/3</f>
        <v>1972.6666666666667</v>
      </c>
      <c r="F339" s="16"/>
      <c r="G339" s="16" t="s">
        <v>17</v>
      </c>
      <c r="H339" s="16">
        <v>14771</v>
      </c>
      <c r="I339" s="16">
        <v>98780</v>
      </c>
      <c r="J339" s="16">
        <v>1029699356</v>
      </c>
      <c r="K339" s="16">
        <f>10568/3</f>
        <v>3522.6666666666665</v>
      </c>
    </row>
    <row r="340" spans="1:11" x14ac:dyDescent="0.2">
      <c r="A340" s="20" t="s">
        <v>56</v>
      </c>
      <c r="B340" s="16">
        <v>53</v>
      </c>
      <c r="C340" s="16">
        <v>792</v>
      </c>
      <c r="D340" s="16">
        <v>6942765</v>
      </c>
      <c r="E340" s="16">
        <f>8777/3</f>
        <v>2925.6666666666665</v>
      </c>
      <c r="F340" s="16"/>
      <c r="G340" s="20" t="s">
        <v>56</v>
      </c>
      <c r="H340" s="16">
        <v>11242</v>
      </c>
      <c r="I340" s="16">
        <v>152993</v>
      </c>
      <c r="J340" s="16">
        <v>1503932534</v>
      </c>
      <c r="K340" s="16">
        <f>9971/3</f>
        <v>3323.6666666666665</v>
      </c>
    </row>
    <row r="341" spans="1:11" x14ac:dyDescent="0.2">
      <c r="A341" s="16" t="s">
        <v>18</v>
      </c>
      <c r="B341" s="16">
        <v>200</v>
      </c>
      <c r="C341" s="16">
        <v>7463</v>
      </c>
      <c r="D341" s="16">
        <v>68183015</v>
      </c>
      <c r="E341" s="16">
        <f>9163/3</f>
        <v>3054.3333333333335</v>
      </c>
      <c r="F341" s="16"/>
      <c r="G341" s="16" t="s">
        <v>18</v>
      </c>
      <c r="H341" s="16">
        <v>7942</v>
      </c>
      <c r="I341" s="16">
        <v>238819</v>
      </c>
      <c r="J341" s="16">
        <v>2526020113</v>
      </c>
      <c r="K341" s="16">
        <f>10733/3</f>
        <v>3577.6666666666665</v>
      </c>
    </row>
    <row r="342" spans="1:11" x14ac:dyDescent="0.2">
      <c r="A342" s="16" t="s">
        <v>19</v>
      </c>
      <c r="B342" s="16">
        <v>520</v>
      </c>
      <c r="C342" s="16">
        <v>36427</v>
      </c>
      <c r="D342" s="16">
        <v>318829999</v>
      </c>
      <c r="E342" s="16">
        <f>8794/3</f>
        <v>2931.3333333333335</v>
      </c>
      <c r="F342" s="16"/>
      <c r="G342" s="16" t="s">
        <v>19</v>
      </c>
      <c r="H342" s="16">
        <v>2478</v>
      </c>
      <c r="I342" s="16">
        <v>169238</v>
      </c>
      <c r="J342" s="16">
        <v>1960069451</v>
      </c>
      <c r="K342" s="16">
        <f>11695/3</f>
        <v>3898.3333333333335</v>
      </c>
    </row>
    <row r="343" spans="1:11" x14ac:dyDescent="0.2">
      <c r="A343" s="16" t="s">
        <v>20</v>
      </c>
      <c r="B343" s="16">
        <v>156</v>
      </c>
      <c r="C343" s="16">
        <v>22049</v>
      </c>
      <c r="D343" s="16">
        <v>208630707</v>
      </c>
      <c r="E343" s="16">
        <f>9502/3</f>
        <v>3167.3333333333335</v>
      </c>
      <c r="F343" s="16"/>
      <c r="G343" s="16" t="s">
        <v>20</v>
      </c>
      <c r="H343" s="16">
        <v>1341</v>
      </c>
      <c r="I343" s="16">
        <v>197933</v>
      </c>
      <c r="J343" s="16">
        <v>2628964429</v>
      </c>
      <c r="K343" s="16">
        <f>13365/3</f>
        <v>4455</v>
      </c>
    </row>
    <row r="344" spans="1:11" x14ac:dyDescent="0.2">
      <c r="A344" s="16" t="s">
        <v>21</v>
      </c>
      <c r="B344" s="16">
        <v>15</v>
      </c>
      <c r="C344" s="16">
        <v>4737</v>
      </c>
      <c r="D344" s="16">
        <v>41249166</v>
      </c>
      <c r="E344" s="16">
        <f>8834/3</f>
        <v>2944.6666666666665</v>
      </c>
      <c r="F344" s="16"/>
      <c r="G344" s="16" t="s">
        <v>21</v>
      </c>
      <c r="H344" s="16">
        <v>340</v>
      </c>
      <c r="I344" s="16">
        <v>117624</v>
      </c>
      <c r="J344" s="16">
        <v>1732526618</v>
      </c>
      <c r="K344" s="16">
        <f>14796/3</f>
        <v>4932</v>
      </c>
    </row>
    <row r="345" spans="1:11" x14ac:dyDescent="0.2">
      <c r="A345" s="16" t="s">
        <v>23</v>
      </c>
      <c r="B345" s="16">
        <v>4</v>
      </c>
      <c r="C345" s="16">
        <v>3270</v>
      </c>
      <c r="D345" s="16">
        <v>18909424</v>
      </c>
      <c r="E345" s="16">
        <f>5931/3</f>
        <v>1977</v>
      </c>
      <c r="F345" s="16"/>
      <c r="G345" s="16" t="s">
        <v>23</v>
      </c>
      <c r="H345" s="16">
        <v>132</v>
      </c>
      <c r="I345" s="16">
        <v>89591</v>
      </c>
      <c r="J345" s="16">
        <v>1446234907</v>
      </c>
      <c r="K345" s="16">
        <f>16048/3</f>
        <v>5349.333333333333</v>
      </c>
    </row>
    <row r="346" spans="1:11" x14ac:dyDescent="0.2">
      <c r="A346" s="16"/>
      <c r="B346" s="16"/>
      <c r="C346" s="16"/>
      <c r="D346" s="16"/>
      <c r="E346" s="16"/>
      <c r="F346" s="16"/>
      <c r="G346" s="16" t="s">
        <v>24</v>
      </c>
      <c r="H346" s="16">
        <v>67</v>
      </c>
      <c r="I346" s="16">
        <v>137634</v>
      </c>
      <c r="J346" s="16">
        <v>2211975309</v>
      </c>
      <c r="K346" s="16">
        <f>16266/3</f>
        <v>5422</v>
      </c>
    </row>
    <row r="347" spans="1:11" x14ac:dyDescent="0.2">
      <c r="K347" s="4" t="s">
        <v>60</v>
      </c>
    </row>
    <row r="349" spans="1:11" x14ac:dyDescent="0.2">
      <c r="A349" s="26" t="s">
        <v>64</v>
      </c>
      <c r="B349" s="27"/>
      <c r="C349" s="27"/>
      <c r="D349" s="27"/>
      <c r="E349" s="27"/>
      <c r="F349" s="27"/>
      <c r="G349" s="27"/>
      <c r="H349" s="27"/>
      <c r="I349" s="27"/>
    </row>
    <row r="351" spans="1:11" x14ac:dyDescent="0.2">
      <c r="B351" s="16"/>
      <c r="C351" s="16"/>
      <c r="D351" s="16"/>
      <c r="E351" s="16"/>
    </row>
    <row r="352" spans="1:11" x14ac:dyDescent="0.2">
      <c r="B352" s="16"/>
      <c r="C352" s="16"/>
      <c r="D352" s="16"/>
      <c r="E352" s="16"/>
    </row>
    <row r="353" spans="2:5" x14ac:dyDescent="0.2">
      <c r="B353" s="16"/>
      <c r="C353" s="16"/>
      <c r="D353" s="16"/>
      <c r="E353" s="16"/>
    </row>
    <row r="354" spans="2:5" x14ac:dyDescent="0.2">
      <c r="B354" s="16"/>
      <c r="C354" s="16"/>
      <c r="D354" s="16"/>
      <c r="E354" s="16"/>
    </row>
    <row r="355" spans="2:5" x14ac:dyDescent="0.2">
      <c r="B355" s="16"/>
      <c r="C355" s="16"/>
      <c r="D355" s="16"/>
      <c r="E355" s="16"/>
    </row>
    <row r="356" spans="2:5" x14ac:dyDescent="0.2">
      <c r="B356" s="16"/>
      <c r="C356" s="16"/>
      <c r="D356" s="16"/>
      <c r="E356" s="16"/>
    </row>
    <row r="357" spans="2:5" x14ac:dyDescent="0.2">
      <c r="B357" s="16"/>
      <c r="C357" s="16"/>
      <c r="D357" s="16"/>
      <c r="E357" s="16"/>
    </row>
    <row r="358" spans="2:5" x14ac:dyDescent="0.2">
      <c r="B358" s="16"/>
      <c r="C358" s="16"/>
      <c r="D358" s="16"/>
      <c r="E358" s="16"/>
    </row>
    <row r="359" spans="2:5" x14ac:dyDescent="0.2">
      <c r="B359" s="16"/>
      <c r="C359" s="16"/>
      <c r="D359" s="16"/>
      <c r="E359" s="16"/>
    </row>
    <row r="360" spans="2:5" x14ac:dyDescent="0.2">
      <c r="B360" s="16"/>
      <c r="C360" s="16"/>
      <c r="D360" s="16"/>
      <c r="E360" s="16"/>
    </row>
    <row r="362" spans="2:5" x14ac:dyDescent="0.2">
      <c r="B362" s="16"/>
      <c r="C362" s="16"/>
      <c r="D362" s="21"/>
      <c r="E362" s="16"/>
    </row>
    <row r="363" spans="2:5" x14ac:dyDescent="0.2">
      <c r="B363" s="16"/>
      <c r="C363" s="16"/>
      <c r="D363" s="16"/>
      <c r="E363" s="16"/>
    </row>
    <row r="364" spans="2:5" x14ac:dyDescent="0.2">
      <c r="B364" s="16"/>
      <c r="C364" s="16"/>
      <c r="D364" s="16"/>
      <c r="E364" s="42"/>
    </row>
    <row r="365" spans="2:5" x14ac:dyDescent="0.2">
      <c r="B365" s="16"/>
      <c r="C365" s="16"/>
      <c r="D365" s="16"/>
      <c r="E365" s="16"/>
    </row>
    <row r="366" spans="2:5" x14ac:dyDescent="0.2">
      <c r="B366" s="16"/>
      <c r="C366" s="16"/>
      <c r="D366" s="16"/>
      <c r="E366" s="16"/>
    </row>
    <row r="367" spans="2:5" x14ac:dyDescent="0.2">
      <c r="B367" s="16"/>
      <c r="C367" s="16"/>
      <c r="D367" s="16"/>
      <c r="E367" s="16"/>
    </row>
    <row r="368" spans="2:5" x14ac:dyDescent="0.2">
      <c r="B368" s="16"/>
      <c r="C368" s="16"/>
      <c r="D368" s="16"/>
      <c r="E368" s="16"/>
    </row>
    <row r="369" spans="2:5" x14ac:dyDescent="0.2">
      <c r="B369" s="16"/>
      <c r="C369" s="16"/>
      <c r="D369" s="16"/>
      <c r="E369" s="16"/>
    </row>
    <row r="370" spans="2:5" x14ac:dyDescent="0.2">
      <c r="B370" s="16"/>
      <c r="C370" s="16"/>
      <c r="D370" s="16"/>
      <c r="E370" s="16"/>
    </row>
    <row r="372" spans="2:5" x14ac:dyDescent="0.2">
      <c r="B372" s="16"/>
      <c r="C372" s="16"/>
      <c r="D372" s="16"/>
      <c r="E372" s="16"/>
    </row>
    <row r="373" spans="2:5" x14ac:dyDescent="0.2">
      <c r="B373" s="16"/>
      <c r="C373" s="16"/>
      <c r="D373" s="16"/>
      <c r="E373" s="16"/>
    </row>
    <row r="374" spans="2:5" x14ac:dyDescent="0.2">
      <c r="B374" s="16"/>
      <c r="C374" s="16"/>
      <c r="D374" s="16"/>
      <c r="E374" s="16"/>
    </row>
    <row r="375" spans="2:5" x14ac:dyDescent="0.2">
      <c r="B375" s="16"/>
      <c r="C375" s="16"/>
      <c r="D375" s="16"/>
      <c r="E375" s="16"/>
    </row>
    <row r="376" spans="2:5" x14ac:dyDescent="0.2">
      <c r="B376" s="16"/>
      <c r="C376" s="16"/>
      <c r="D376" s="16"/>
      <c r="E376" s="16"/>
    </row>
    <row r="377" spans="2:5" x14ac:dyDescent="0.2">
      <c r="B377" s="16"/>
      <c r="C377" s="16"/>
      <c r="D377" s="16"/>
      <c r="E377" s="16"/>
    </row>
    <row r="378" spans="2:5" x14ac:dyDescent="0.2">
      <c r="B378" s="16"/>
      <c r="C378" s="16"/>
      <c r="D378" s="16"/>
      <c r="E378" s="16"/>
    </row>
    <row r="379" spans="2:5" x14ac:dyDescent="0.2">
      <c r="B379" s="16"/>
      <c r="C379" s="16"/>
      <c r="D379" s="16"/>
      <c r="E379" s="16"/>
    </row>
    <row r="380" spans="2:5" x14ac:dyDescent="0.2">
      <c r="B380" s="16"/>
      <c r="C380" s="16"/>
      <c r="D380" s="16"/>
      <c r="E380" s="16"/>
    </row>
    <row r="385" spans="11:11" x14ac:dyDescent="0.2">
      <c r="K385" s="43"/>
    </row>
    <row r="461" spans="5:5" x14ac:dyDescent="0.2">
      <c r="E461" s="43"/>
    </row>
    <row r="482" spans="5:5" x14ac:dyDescent="0.2">
      <c r="E482" s="43"/>
    </row>
    <row r="581" spans="11:11" x14ac:dyDescent="0.2">
      <c r="K581" s="44"/>
    </row>
    <row r="657" spans="11:11" x14ac:dyDescent="0.2">
      <c r="K657" s="43"/>
    </row>
    <row r="709" spans="5:5" x14ac:dyDescent="0.2">
      <c r="E709" s="43"/>
    </row>
    <row r="731" spans="5:11" x14ac:dyDescent="0.2">
      <c r="E731" s="43"/>
      <c r="K731" s="43"/>
    </row>
    <row r="760" spans="5:5" x14ac:dyDescent="0.2">
      <c r="E760" s="43"/>
    </row>
    <row r="782" spans="5:11" x14ac:dyDescent="0.2">
      <c r="E782" s="43"/>
      <c r="K782" s="43"/>
    </row>
  </sheetData>
  <mergeCells count="51">
    <mergeCell ref="A206:E206"/>
    <mergeCell ref="G206:K206"/>
    <mergeCell ref="A306:E306"/>
    <mergeCell ref="A154:K154"/>
    <mergeCell ref="A203:K203"/>
    <mergeCell ref="G178:K178"/>
    <mergeCell ref="A29:E29"/>
    <mergeCell ref="G29:K29"/>
    <mergeCell ref="A59:E59"/>
    <mergeCell ref="G59:K59"/>
    <mergeCell ref="D54:H54"/>
    <mergeCell ref="A50:I50"/>
    <mergeCell ref="A56:K56"/>
    <mergeCell ref="D103:H103"/>
    <mergeCell ref="D153:H153"/>
    <mergeCell ref="A107:E107"/>
    <mergeCell ref="A148:I148"/>
    <mergeCell ref="A157:E157"/>
    <mergeCell ref="G157:K157"/>
    <mergeCell ref="A7:E7"/>
    <mergeCell ref="A101:I101"/>
    <mergeCell ref="A100:I100"/>
    <mergeCell ref="A328:E328"/>
    <mergeCell ref="G328:K328"/>
    <mergeCell ref="A227:E227"/>
    <mergeCell ref="G227:K227"/>
    <mergeCell ref="A255:E255"/>
    <mergeCell ref="G255:K255"/>
    <mergeCell ref="A277:E277"/>
    <mergeCell ref="G277:K277"/>
    <mergeCell ref="A252:K252"/>
    <mergeCell ref="A303:K303"/>
    <mergeCell ref="A253:K253"/>
    <mergeCell ref="A204:K204"/>
    <mergeCell ref="A104:K104"/>
    <mergeCell ref="G7:K7"/>
    <mergeCell ref="A304:K304"/>
    <mergeCell ref="G306:K306"/>
    <mergeCell ref="A4:K4"/>
    <mergeCell ref="A5:K5"/>
    <mergeCell ref="A178:E178"/>
    <mergeCell ref="A57:K57"/>
    <mergeCell ref="A105:K105"/>
    <mergeCell ref="A106:K106"/>
    <mergeCell ref="A155:K155"/>
    <mergeCell ref="A156:K156"/>
    <mergeCell ref="A80:E80"/>
    <mergeCell ref="G80:K80"/>
    <mergeCell ref="G107:K107"/>
    <mergeCell ref="A128:E128"/>
    <mergeCell ref="G128:K128"/>
  </mergeCells>
  <phoneticPr fontId="0" type="noConversion"/>
  <pageMargins left="0.75" right="0.75" top="0.55000000000000004" bottom="0.49" header="0.5" footer="0.5"/>
  <pageSetup scale="80" fitToWidth="7" orientation="landscape" r:id="rId1"/>
  <headerFooter alignWithMargins="0"/>
  <rowBreaks count="6" manualBreakCount="6">
    <brk id="52" max="16383" man="1"/>
    <brk id="100" max="16383" man="1"/>
    <brk id="149" max="16383" man="1"/>
    <brk id="198" max="16383" man="1"/>
    <brk id="247" max="16383" man="1"/>
    <brk id="2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TABLE5</vt:lpstr>
      <vt:lpstr>Chart1</vt:lpstr>
      <vt:lpstr>TABLE5!Print_Area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Schroeder</dc:creator>
  <cp:lastModifiedBy>Alyssia Minaya</cp:lastModifiedBy>
  <cp:lastPrinted>2018-12-21T18:42:59Z</cp:lastPrinted>
  <dcterms:created xsi:type="dcterms:W3CDTF">2002-12-20T22:52:14Z</dcterms:created>
  <dcterms:modified xsi:type="dcterms:W3CDTF">2021-01-26T17:07:40Z</dcterms:modified>
</cp:coreProperties>
</file>