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650" yWindow="-15" windowWidth="5370" windowHeight="8730" activeTab="1"/>
  </bookViews>
  <sheets>
    <sheet name="Chart1" sheetId="2" r:id="rId1"/>
    <sheet name="TABLE5" sheetId="1" r:id="rId2"/>
    <sheet name="Sheet2" sheetId="4" r:id="rId3"/>
  </sheets>
  <definedNames>
    <definedName name="_xlnm.Print_Area" localSheetId="1">TABLE5!$A$1:$K$352</definedName>
    <definedName name="_xlnm.Print_Area">TABLE5!$P$652:$V$702</definedName>
  </definedNames>
  <calcPr calcId="145621"/>
</workbook>
</file>

<file path=xl/calcChain.xml><?xml version="1.0" encoding="utf-8"?>
<calcChain xmlns="http://schemas.openxmlformats.org/spreadsheetml/2006/main">
  <c r="F15" i="4" l="1"/>
  <c r="F14" i="4"/>
  <c r="F13" i="4"/>
  <c r="F12" i="4"/>
  <c r="F11" i="4"/>
  <c r="F10" i="4"/>
  <c r="F9" i="4"/>
  <c r="F8" i="4"/>
  <c r="F7" i="4"/>
  <c r="F6" i="4"/>
  <c r="C15" i="4"/>
  <c r="C14" i="4"/>
  <c r="C13" i="4"/>
  <c r="C12" i="4"/>
  <c r="C11" i="4"/>
  <c r="C10" i="4"/>
  <c r="C9" i="4"/>
  <c r="C8" i="4"/>
  <c r="C7" i="4"/>
  <c r="C6" i="4"/>
  <c r="D21" i="1" l="1"/>
  <c r="D18" i="1"/>
  <c r="D19" i="1"/>
  <c r="D20" i="1"/>
  <c r="D17" i="1"/>
  <c r="D16" i="1"/>
  <c r="J335" i="1" l="1"/>
  <c r="D262" i="1"/>
  <c r="J234" i="1"/>
  <c r="D234" i="1"/>
  <c r="J213" i="1"/>
  <c r="D213" i="1"/>
  <c r="J185" i="1"/>
  <c r="D185" i="1"/>
  <c r="J164" i="1"/>
  <c r="D164" i="1"/>
  <c r="J135" i="1"/>
  <c r="D135" i="1"/>
  <c r="J114" i="1"/>
  <c r="D114" i="1"/>
  <c r="J87" i="1"/>
  <c r="D87" i="1"/>
  <c r="J66" i="1"/>
  <c r="D66" i="1"/>
  <c r="J36" i="1"/>
  <c r="D36" i="1"/>
  <c r="J14" i="1"/>
  <c r="D14" i="1"/>
  <c r="K234" i="1" l="1"/>
  <c r="K346" i="1" l="1"/>
  <c r="K345" i="1"/>
  <c r="K344" i="1"/>
  <c r="K343" i="1"/>
  <c r="K342" i="1"/>
  <c r="K341" i="1"/>
  <c r="K340" i="1"/>
  <c r="K339" i="1"/>
  <c r="K338" i="1"/>
  <c r="K337" i="1"/>
  <c r="K335" i="1"/>
  <c r="E273" i="1"/>
  <c r="E272" i="1"/>
  <c r="E271" i="1"/>
  <c r="E270" i="1"/>
  <c r="E269" i="1"/>
  <c r="E268" i="1"/>
  <c r="E267" i="1"/>
  <c r="E266" i="1"/>
  <c r="E265" i="1"/>
  <c r="E264" i="1"/>
  <c r="E262" i="1"/>
  <c r="K273" i="1"/>
  <c r="K272" i="1"/>
  <c r="K271" i="1"/>
  <c r="K270" i="1"/>
  <c r="K269" i="1"/>
  <c r="K268" i="1"/>
  <c r="K267" i="1"/>
  <c r="K266" i="1"/>
  <c r="K265" i="1"/>
  <c r="K262" i="1"/>
  <c r="K264" i="1"/>
  <c r="K295" i="1"/>
  <c r="K294" i="1"/>
  <c r="K293" i="1"/>
  <c r="K292" i="1"/>
  <c r="K291" i="1"/>
  <c r="K290" i="1"/>
  <c r="K289" i="1"/>
  <c r="K288" i="1"/>
  <c r="K287" i="1"/>
  <c r="K286" i="1"/>
  <c r="K284" i="1"/>
  <c r="K324" i="1"/>
  <c r="K323" i="1"/>
  <c r="K322" i="1"/>
  <c r="K321" i="1"/>
  <c r="K320" i="1"/>
  <c r="K319" i="1"/>
  <c r="K318" i="1"/>
  <c r="K317" i="1"/>
  <c r="K316" i="1"/>
  <c r="K315" i="1"/>
  <c r="K313" i="1"/>
  <c r="E346" i="1"/>
  <c r="E345" i="1"/>
  <c r="E344" i="1"/>
  <c r="E343" i="1"/>
  <c r="E342" i="1"/>
  <c r="E341" i="1"/>
  <c r="E340" i="1"/>
  <c r="E339" i="1"/>
  <c r="E338" i="1"/>
  <c r="E337" i="1"/>
  <c r="E335" i="1"/>
  <c r="E324" i="1"/>
  <c r="E323" i="1"/>
  <c r="E322" i="1"/>
  <c r="E321" i="1"/>
  <c r="E320" i="1"/>
  <c r="E319" i="1"/>
  <c r="E318" i="1"/>
  <c r="E317" i="1"/>
  <c r="E316" i="1"/>
  <c r="E315" i="1"/>
  <c r="E313" i="1"/>
  <c r="E294" i="1"/>
  <c r="E293" i="1"/>
  <c r="E292" i="1"/>
  <c r="E291" i="1"/>
  <c r="E290" i="1"/>
  <c r="E289" i="1"/>
  <c r="E288" i="1"/>
  <c r="E287" i="1"/>
  <c r="E286" i="1"/>
  <c r="E284" i="1"/>
  <c r="E243" i="1" l="1"/>
  <c r="E242" i="1"/>
  <c r="E241" i="1"/>
  <c r="E240" i="1"/>
  <c r="E239" i="1"/>
  <c r="E238" i="1"/>
  <c r="E237" i="1"/>
  <c r="E236" i="1"/>
  <c r="E234" i="1"/>
  <c r="K223" i="1"/>
  <c r="K222" i="1"/>
  <c r="K221" i="1"/>
  <c r="K220" i="1"/>
  <c r="K219" i="1"/>
  <c r="K218" i="1"/>
  <c r="K217" i="1"/>
  <c r="K216" i="1"/>
  <c r="K215" i="1"/>
  <c r="K213" i="1"/>
  <c r="I213" i="1"/>
  <c r="H213" i="1"/>
  <c r="E223" i="1"/>
  <c r="E220" i="1"/>
  <c r="E224" i="1"/>
  <c r="E222" i="1"/>
  <c r="E221" i="1"/>
  <c r="E219" i="1"/>
  <c r="E218" i="1"/>
  <c r="E217" i="1"/>
  <c r="E216" i="1"/>
  <c r="E215" i="1"/>
  <c r="E213" i="1"/>
  <c r="K196" i="1"/>
  <c r="K195" i="1"/>
  <c r="K194" i="1"/>
  <c r="K193" i="1"/>
  <c r="K192" i="1"/>
  <c r="K191" i="1"/>
  <c r="K190" i="1"/>
  <c r="K189" i="1"/>
  <c r="K188" i="1"/>
  <c r="K187" i="1"/>
  <c r="K185" i="1"/>
  <c r="E196" i="1"/>
  <c r="E195" i="1"/>
  <c r="E194" i="1"/>
  <c r="E193" i="1"/>
  <c r="E192" i="1"/>
  <c r="E191" i="1"/>
  <c r="E190" i="1"/>
  <c r="E189" i="1"/>
  <c r="E188" i="1"/>
  <c r="E187" i="1"/>
  <c r="E185" i="1"/>
  <c r="K175" i="1"/>
  <c r="K174" i="1"/>
  <c r="K173" i="1"/>
  <c r="K172" i="1"/>
  <c r="K171" i="1"/>
  <c r="K170" i="1"/>
  <c r="K169" i="1"/>
  <c r="K168" i="1"/>
  <c r="K167" i="1"/>
  <c r="K166" i="1"/>
  <c r="K164" i="1"/>
  <c r="E175" i="1"/>
  <c r="E174" i="1"/>
  <c r="E173" i="1"/>
  <c r="E172" i="1"/>
  <c r="E171" i="1"/>
  <c r="E170" i="1"/>
  <c r="E169" i="1"/>
  <c r="E168" i="1"/>
  <c r="E167" i="1"/>
  <c r="E166" i="1"/>
  <c r="E164" i="1"/>
  <c r="C164" i="1"/>
  <c r="B164" i="1"/>
  <c r="K142" i="1" l="1"/>
  <c r="K141" i="1"/>
  <c r="K140" i="1"/>
  <c r="K139" i="1"/>
  <c r="K138" i="1"/>
  <c r="K137" i="1"/>
  <c r="K135" i="1"/>
  <c r="E146" i="1"/>
  <c r="E145" i="1"/>
  <c r="E144" i="1"/>
  <c r="E143" i="1"/>
  <c r="E142" i="1"/>
  <c r="E141" i="1"/>
  <c r="E140" i="1"/>
  <c r="E139" i="1"/>
  <c r="E138" i="1"/>
  <c r="E137" i="1"/>
  <c r="E135" i="1"/>
  <c r="K125" i="1"/>
  <c r="K124" i="1"/>
  <c r="K123" i="1"/>
  <c r="K122" i="1"/>
  <c r="K121" i="1"/>
  <c r="K120" i="1"/>
  <c r="K119" i="1"/>
  <c r="K118" i="1"/>
  <c r="K117" i="1"/>
  <c r="K116" i="1"/>
  <c r="K114" i="1"/>
  <c r="E125" i="1"/>
  <c r="E124" i="1"/>
  <c r="E123" i="1"/>
  <c r="E122" i="1"/>
  <c r="E121" i="1"/>
  <c r="E120" i="1"/>
  <c r="E119" i="1"/>
  <c r="E118" i="1"/>
  <c r="E117" i="1"/>
  <c r="E116" i="1"/>
  <c r="E114" i="1"/>
  <c r="K98" i="1"/>
  <c r="K97" i="1"/>
  <c r="K96" i="1"/>
  <c r="K95" i="1"/>
  <c r="K94" i="1"/>
  <c r="K93" i="1"/>
  <c r="K92" i="1"/>
  <c r="K91" i="1"/>
  <c r="K90" i="1"/>
  <c r="K89" i="1"/>
  <c r="K87" i="1"/>
  <c r="E87" i="1"/>
  <c r="E97" i="1"/>
  <c r="E96" i="1"/>
  <c r="E95" i="1"/>
  <c r="E94" i="1"/>
  <c r="E93" i="1"/>
  <c r="E92" i="1"/>
  <c r="E91" i="1"/>
  <c r="E90" i="1"/>
  <c r="E89" i="1"/>
  <c r="E77" i="1"/>
  <c r="E76" i="1"/>
  <c r="E75" i="1"/>
  <c r="E74" i="1"/>
  <c r="E73" i="1"/>
  <c r="E72" i="1"/>
  <c r="E71" i="1"/>
  <c r="E70" i="1"/>
  <c r="E69" i="1"/>
  <c r="E68" i="1"/>
  <c r="E66" i="1"/>
  <c r="K46" i="1"/>
  <c r="K45" i="1"/>
  <c r="K44" i="1"/>
  <c r="K43" i="1"/>
  <c r="K42" i="1"/>
  <c r="K41" i="1"/>
  <c r="K40" i="1"/>
  <c r="K39" i="1"/>
  <c r="K38" i="1"/>
  <c r="K36" i="1"/>
  <c r="E43" i="1" l="1"/>
  <c r="E42" i="1"/>
  <c r="E41" i="1"/>
  <c r="E40" i="1"/>
  <c r="E39" i="1"/>
  <c r="E38" i="1"/>
  <c r="E36" i="1"/>
  <c r="K22" i="1"/>
  <c r="K21" i="1"/>
  <c r="K20" i="1"/>
  <c r="K19" i="1"/>
  <c r="K18" i="1"/>
  <c r="K17" i="1"/>
  <c r="K16" i="1"/>
  <c r="K14" i="1"/>
  <c r="E25" i="1" l="1"/>
  <c r="E24" i="1"/>
  <c r="E23" i="1"/>
  <c r="E22" i="1"/>
  <c r="E21" i="1"/>
  <c r="E20" i="1"/>
  <c r="E19" i="1"/>
  <c r="E18" i="1"/>
  <c r="E17" i="1"/>
  <c r="E16" i="1"/>
  <c r="E14" i="1"/>
  <c r="C16" i="1" l="1"/>
  <c r="I234" i="1"/>
  <c r="J71" i="1"/>
  <c r="J72" i="1"/>
  <c r="J73" i="1"/>
  <c r="J74" i="1"/>
  <c r="J75" i="1"/>
  <c r="J76" i="1"/>
  <c r="J77" i="1"/>
  <c r="K77" i="1" l="1"/>
  <c r="K76" i="1"/>
  <c r="K75" i="1"/>
  <c r="K74" i="1"/>
  <c r="K73" i="1"/>
  <c r="K72" i="1"/>
  <c r="K71" i="1"/>
  <c r="K70" i="1"/>
  <c r="K69" i="1"/>
  <c r="K68" i="1"/>
  <c r="K66" i="1"/>
  <c r="I76" i="1"/>
  <c r="I77" i="1"/>
  <c r="H76" i="1"/>
  <c r="H77" i="1"/>
  <c r="I87" i="1"/>
  <c r="H87" i="1"/>
  <c r="I185" i="1" l="1"/>
  <c r="H185" i="1"/>
  <c r="H68" i="1"/>
  <c r="B16" i="1" s="1"/>
  <c r="H69" i="1"/>
  <c r="B17" i="1" s="1"/>
  <c r="H70" i="1"/>
  <c r="B18" i="1" s="1"/>
  <c r="I36" i="1"/>
  <c r="H36" i="1"/>
  <c r="H234" i="1" l="1"/>
  <c r="D284" i="1" l="1"/>
  <c r="I75" i="1" l="1"/>
  <c r="B114" i="1" l="1"/>
  <c r="C114" i="1"/>
  <c r="D335" i="1" l="1"/>
  <c r="C335" i="1"/>
  <c r="B335" i="1"/>
  <c r="H75" i="1"/>
  <c r="H74" i="1"/>
  <c r="I335" i="1" l="1"/>
  <c r="H335" i="1"/>
  <c r="J313" i="1"/>
  <c r="I313" i="1"/>
  <c r="H313" i="1"/>
  <c r="D313" i="1"/>
  <c r="C313" i="1"/>
  <c r="B313" i="1"/>
  <c r="J284" i="1"/>
  <c r="I284" i="1"/>
  <c r="H284" i="1"/>
  <c r="C284" i="1"/>
  <c r="B284" i="1"/>
  <c r="J262" i="1"/>
  <c r="I262" i="1"/>
  <c r="H262" i="1"/>
  <c r="C262" i="1"/>
  <c r="B262" i="1"/>
  <c r="B234" i="1"/>
  <c r="C234" i="1"/>
  <c r="C213" i="1"/>
  <c r="B213" i="1"/>
  <c r="C185" i="1"/>
  <c r="B185" i="1"/>
  <c r="I164" i="1"/>
  <c r="H164" i="1"/>
  <c r="I135" i="1"/>
  <c r="H135" i="1"/>
  <c r="C135" i="1"/>
  <c r="B135" i="1"/>
  <c r="I114" i="1"/>
  <c r="H114" i="1"/>
  <c r="C87" i="1"/>
  <c r="B87" i="1"/>
  <c r="I74" i="1"/>
  <c r="I73" i="1"/>
  <c r="C21" i="1" s="1"/>
  <c r="H73" i="1"/>
  <c r="B21" i="1" s="1"/>
  <c r="I72" i="1"/>
  <c r="C20" i="1" s="1"/>
  <c r="H72" i="1"/>
  <c r="B20" i="1" s="1"/>
  <c r="I71" i="1"/>
  <c r="C19" i="1" s="1"/>
  <c r="H71" i="1"/>
  <c r="B19" i="1" s="1"/>
  <c r="J70" i="1"/>
  <c r="I70" i="1"/>
  <c r="C18" i="1" s="1"/>
  <c r="J69" i="1"/>
  <c r="I69" i="1"/>
  <c r="C17" i="1" s="1"/>
  <c r="J68" i="1"/>
  <c r="I68" i="1"/>
  <c r="C66" i="1"/>
  <c r="B66" i="1"/>
  <c r="C36" i="1"/>
  <c r="B36" i="1"/>
  <c r="I14" i="1"/>
  <c r="H14" i="1"/>
  <c r="C14" i="1" l="1"/>
  <c r="B14" i="1"/>
  <c r="I66" i="1"/>
  <c r="H66" i="1"/>
</calcChain>
</file>

<file path=xl/sharedStrings.xml><?xml version="1.0" encoding="utf-8"?>
<sst xmlns="http://schemas.openxmlformats.org/spreadsheetml/2006/main" count="723" uniqueCount="69">
  <si>
    <t>STATE TOTAL</t>
  </si>
  <si>
    <t xml:space="preserve">   MINING (21)</t>
  </si>
  <si>
    <t>Total</t>
  </si>
  <si>
    <t xml:space="preserve">   Average</t>
  </si>
  <si>
    <t>Employment</t>
  </si>
  <si>
    <t xml:space="preserve">   Number of</t>
  </si>
  <si>
    <t xml:space="preserve">    March</t>
  </si>
  <si>
    <t>Quarterly</t>
  </si>
  <si>
    <t xml:space="preserve">   Monthly</t>
  </si>
  <si>
    <t xml:space="preserve">  Range</t>
  </si>
  <si>
    <t>Establishments</t>
  </si>
  <si>
    <t xml:space="preserve">  Employment</t>
  </si>
  <si>
    <t>Wages</t>
  </si>
  <si>
    <t xml:space="preserve">   Wage</t>
  </si>
  <si>
    <t xml:space="preserve">  Total</t>
  </si>
  <si>
    <t>0</t>
  </si>
  <si>
    <t>1-4</t>
  </si>
  <si>
    <t>5-9</t>
  </si>
  <si>
    <t>20-49</t>
  </si>
  <si>
    <t>50-99</t>
  </si>
  <si>
    <t>100-249</t>
  </si>
  <si>
    <t>250-499</t>
  </si>
  <si>
    <t>250 &amp; Over</t>
  </si>
  <si>
    <t>500-999</t>
  </si>
  <si>
    <t>1,000 &amp; Over</t>
  </si>
  <si>
    <t>UTILITIES (22)</t>
  </si>
  <si>
    <t xml:space="preserve">    CONSTRUCTION (23)</t>
  </si>
  <si>
    <t xml:space="preserve">   Total</t>
  </si>
  <si>
    <t xml:space="preserve"> </t>
  </si>
  <si>
    <t xml:space="preserve">       MANUFACTURING (31-33)</t>
  </si>
  <si>
    <t xml:space="preserve">   TRADE</t>
  </si>
  <si>
    <t>500 &amp; Over</t>
  </si>
  <si>
    <t xml:space="preserve">    Wholesale Trade (42)</t>
  </si>
  <si>
    <t>Retail Trade (44-45)</t>
  </si>
  <si>
    <t xml:space="preserve">   TRANSPORTATION AND WAREHOUSING (48-49)</t>
  </si>
  <si>
    <t xml:space="preserve">              INFORMATION (51)</t>
  </si>
  <si>
    <t>FINANCE AND INSURANCE (52)</t>
  </si>
  <si>
    <t>REAL ESTATE &amp; RENTAL AND LEASING (53)</t>
  </si>
  <si>
    <t>100 &amp; Over</t>
  </si>
  <si>
    <t>PROFESSIONAL, SCIENTIFIC, AND TECHNICAL SERVICES (54)</t>
  </si>
  <si>
    <t>MANAGEMENT OF COMPANIES AND ENTERPRISES (55)</t>
  </si>
  <si>
    <t>ADMINISTRATIVE &amp; SUPPORT, WASTE MANAGEMENT, &amp; REMEDIATION SERVICES (56)</t>
  </si>
  <si>
    <t>HEALTH CARE AND SOCIAL ASSISTANCE (62)</t>
  </si>
  <si>
    <t>ARTS, ENTERTAINMENT, AND RECREATION (71)</t>
  </si>
  <si>
    <t>ACCOMMODATION AND FOOD SERVICES (72)</t>
  </si>
  <si>
    <t>OTHER SERVICES (81)</t>
  </si>
  <si>
    <t>FEDERAL GOVERNMENT</t>
  </si>
  <si>
    <t>FEDERAL DEFENSE</t>
  </si>
  <si>
    <t>STATE GOVERNMENT</t>
  </si>
  <si>
    <t>STATE EDUCATION</t>
  </si>
  <si>
    <t>LOCAL GOVERNMENT</t>
  </si>
  <si>
    <t>LOCAL EDUCATION</t>
  </si>
  <si>
    <t>PRIVATE SECTOR</t>
  </si>
  <si>
    <t>GOVERNMENT (92)</t>
  </si>
  <si>
    <t>500 &amp;  Over</t>
  </si>
  <si>
    <t>500 - 999</t>
  </si>
  <si>
    <t>10-19</t>
  </si>
  <si>
    <t>1000 &amp; Over</t>
  </si>
  <si>
    <t xml:space="preserve">250-499 </t>
  </si>
  <si>
    <t>EDUCATIONAL SERVICES (PRIVATE) (61)</t>
  </si>
  <si>
    <t>.</t>
  </si>
  <si>
    <t>`</t>
  </si>
  <si>
    <t xml:space="preserve">BY EMPLOYMENT RANGE AND NAICS SECTOR, FIRST QUARTER 2018
</t>
  </si>
  <si>
    <t>SOURCE: Utah Department of Workforce Services, Workforce Research &amp; Analysis, Utah Employers, Employment, and Wages by Size, 2018.</t>
  </si>
  <si>
    <t>EMPLOYMENT RANGE AND NAICS SECTOR, FIRST QUARTER 2018</t>
  </si>
  <si>
    <t xml:space="preserve">    </t>
  </si>
  <si>
    <t xml:space="preserve">TABLE 16.  UTAH NONAGRICULTURAL ESTABLISHMENTS, EMPLOYMENT, AND WAGES
</t>
  </si>
  <si>
    <t xml:space="preserve">TABLE 16.  (cont.) UTAH NONAGRICULTURAL ESTABLISHMENTS, EMPLOYMENT, AND WAGES BY </t>
  </si>
  <si>
    <t xml:space="preserve">TABLE16.  (cont.) UTAH NONAGRICULTURAL ESTABLISHMENTS, EMPLOYMENT, AND WAGES 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</si>
</sst>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\ ;\(&quot;$&quot;#,##0\)"/>
    <numFmt numFmtId="165" formatCode="&quot;$&quot;#,##0"/>
    <numFmt numFmtId="166" formatCode="0.0%"/>
    <numFmt numFmtId="169" formatCode="0.000"/>
    <numFmt numFmtId="172" formatCode="#,##0.0000"/>
  </numFmts>
  <fonts count="8" x14ac:knownFonts="1">
    <font>
      <sz val="10"/>
      <name val="Arial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10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2" fillId="0" borderId="0"/>
    <xf numFmtId="9" fontId="7" fillId="0" borderId="0" applyFont="0" applyFill="0" applyBorder="0" applyAlignment="0" applyProtection="0"/>
  </cellStyleXfs>
  <cellXfs count="54">
    <xf numFmtId="3" fontId="0" fillId="0" borderId="0" xfId="0" applyNumberFormat="1"/>
    <xf numFmtId="164" fontId="0" fillId="0" borderId="0" xfId="0" applyNumberFormat="1"/>
    <xf numFmtId="4" fontId="0" fillId="0" borderId="0" xfId="0" applyNumberFormat="1"/>
    <xf numFmtId="3" fontId="0" fillId="0" borderId="0" xfId="0" quotePrefix="1" applyNumberFormat="1"/>
    <xf numFmtId="3" fontId="1" fillId="0" borderId="0" xfId="0" applyNumberFormat="1" applyFont="1" applyFill="1"/>
    <xf numFmtId="3" fontId="2" fillId="0" borderId="0" xfId="0" applyNumberFormat="1" applyFont="1"/>
    <xf numFmtId="3" fontId="4" fillId="0" borderId="0" xfId="0" applyNumberFormat="1" applyFont="1" applyFill="1"/>
    <xf numFmtId="3" fontId="0" fillId="0" borderId="0" xfId="0" applyNumberFormat="1" applyFill="1"/>
    <xf numFmtId="3" fontId="2" fillId="0" borderId="0" xfId="0" applyNumberFormat="1" applyFont="1" applyFill="1"/>
    <xf numFmtId="3" fontId="2" fillId="0" borderId="0" xfId="0" applyNumberFormat="1" applyFont="1" applyAlignment="1"/>
    <xf numFmtId="3" fontId="0" fillId="0" borderId="0" xfId="0" applyNumberFormat="1" applyAlignment="1"/>
    <xf numFmtId="3" fontId="0" fillId="3" borderId="0" xfId="0" applyNumberFormat="1" applyFill="1"/>
    <xf numFmtId="3" fontId="4" fillId="2" borderId="0" xfId="0" applyNumberFormat="1" applyFont="1" applyFill="1"/>
    <xf numFmtId="3" fontId="4" fillId="0" borderId="0" xfId="0" applyNumberFormat="1" applyFont="1"/>
    <xf numFmtId="3" fontId="4" fillId="2" borderId="0" xfId="0" applyNumberFormat="1" applyFont="1" applyFill="1" applyAlignment="1">
      <alignment horizontal="right"/>
    </xf>
    <xf numFmtId="3" fontId="4" fillId="2" borderId="0" xfId="0" applyNumberFormat="1" applyFont="1" applyFill="1" applyAlignment="1">
      <alignment horizontal="left"/>
    </xf>
    <xf numFmtId="165" fontId="4" fillId="0" borderId="0" xfId="0" applyNumberFormat="1" applyFont="1"/>
    <xf numFmtId="164" fontId="4" fillId="0" borderId="0" xfId="0" applyNumberFormat="1" applyFont="1"/>
    <xf numFmtId="3" fontId="6" fillId="0" borderId="0" xfId="0" applyNumberFormat="1" applyFont="1"/>
    <xf numFmtId="164" fontId="4" fillId="0" borderId="0" xfId="0" applyNumberFormat="1" applyFont="1" applyAlignment="1"/>
    <xf numFmtId="3" fontId="0" fillId="5" borderId="0" xfId="0" applyNumberFormat="1" applyFill="1"/>
    <xf numFmtId="3" fontId="4" fillId="6" borderId="0" xfId="0" applyNumberFormat="1" applyFont="1" applyFill="1"/>
    <xf numFmtId="165" fontId="4" fillId="6" borderId="0" xfId="0" applyNumberFormat="1" applyFont="1" applyFill="1"/>
    <xf numFmtId="3" fontId="0" fillId="6" borderId="0" xfId="0" applyNumberFormat="1" applyFill="1"/>
    <xf numFmtId="3" fontId="0" fillId="0" borderId="1" xfId="0" applyNumberFormat="1" applyBorder="1"/>
    <xf numFmtId="3" fontId="0" fillId="0" borderId="2" xfId="0" applyNumberFormat="1" applyBorder="1"/>
    <xf numFmtId="3" fontId="4" fillId="6" borderId="2" xfId="0" applyNumberFormat="1" applyFont="1" applyFill="1" applyBorder="1"/>
    <xf numFmtId="165" fontId="4" fillId="6" borderId="2" xfId="0" applyNumberFormat="1" applyFont="1" applyFill="1" applyBorder="1"/>
    <xf numFmtId="164" fontId="4" fillId="6" borderId="2" xfId="0" applyNumberFormat="1" applyFont="1" applyFill="1" applyBorder="1"/>
    <xf numFmtId="3" fontId="0" fillId="6" borderId="2" xfId="0" applyNumberFormat="1" applyFill="1" applyBorder="1"/>
    <xf numFmtId="3" fontId="0" fillId="6" borderId="2" xfId="0" quotePrefix="1" applyNumberFormat="1" applyFill="1" applyBorder="1"/>
    <xf numFmtId="3" fontId="2" fillId="6" borderId="2" xfId="0" applyNumberFormat="1" applyFont="1" applyFill="1" applyBorder="1"/>
    <xf numFmtId="3" fontId="2" fillId="6" borderId="2" xfId="1" applyNumberFormat="1" applyFont="1" applyFill="1" applyBorder="1"/>
    <xf numFmtId="3" fontId="0" fillId="5" borderId="2" xfId="0" applyNumberFormat="1" applyFill="1" applyBorder="1"/>
    <xf numFmtId="3" fontId="0" fillId="6" borderId="2" xfId="0" applyNumberFormat="1" applyFill="1" applyBorder="1" applyAlignment="1">
      <alignment horizontal="left"/>
    </xf>
    <xf numFmtId="3" fontId="0" fillId="0" borderId="2" xfId="0" applyNumberFormat="1" applyFill="1" applyBorder="1"/>
    <xf numFmtId="3" fontId="3" fillId="6" borderId="2" xfId="0" applyNumberFormat="1" applyFont="1" applyFill="1" applyBorder="1"/>
    <xf numFmtId="165" fontId="4" fillId="0" borderId="0" xfId="0" applyNumberFormat="1" applyFont="1" applyFill="1"/>
    <xf numFmtId="3" fontId="2" fillId="0" borderId="0" xfId="0" applyNumberFormat="1" applyFont="1" applyAlignment="1"/>
    <xf numFmtId="3" fontId="0" fillId="0" borderId="0" xfId="0" applyNumberFormat="1" applyAlignment="1"/>
    <xf numFmtId="3" fontId="4" fillId="2" borderId="0" xfId="0" applyNumberFormat="1" applyFont="1" applyFill="1" applyAlignment="1">
      <alignment horizontal="center"/>
    </xf>
    <xf numFmtId="3" fontId="5" fillId="4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5" fillId="4" borderId="0" xfId="0" applyNumberFormat="1" applyFont="1" applyFill="1" applyAlignment="1">
      <alignment horizontal="center" vertical="top" wrapText="1"/>
    </xf>
    <xf numFmtId="3" fontId="5" fillId="0" borderId="0" xfId="0" applyNumberFormat="1" applyFont="1" applyAlignment="1">
      <alignment horizontal="center" vertical="top"/>
    </xf>
    <xf numFmtId="3" fontId="4" fillId="2" borderId="0" xfId="0" applyNumberFormat="1" applyFont="1" applyFill="1" applyAlignment="1">
      <alignment horizontal="left"/>
    </xf>
    <xf numFmtId="166" fontId="0" fillId="0" borderId="0" xfId="2" applyNumberFormat="1" applyFont="1"/>
    <xf numFmtId="169" fontId="0" fillId="0" borderId="0" xfId="2" applyNumberFormat="1" applyFont="1"/>
    <xf numFmtId="172" fontId="4" fillId="0" borderId="0" xfId="0" applyNumberFormat="1" applyFont="1"/>
    <xf numFmtId="172" fontId="0" fillId="0" borderId="0" xfId="0" applyNumberFormat="1"/>
    <xf numFmtId="172" fontId="0" fillId="0" borderId="0" xfId="2" applyNumberFormat="1" applyFont="1"/>
    <xf numFmtId="166" fontId="4" fillId="0" borderId="0" xfId="2" applyNumberFormat="1" applyFont="1"/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098779134295227E-2"/>
          <c:y val="1.6313213703099509E-2"/>
          <c:w val="0.97780244173140951"/>
          <c:h val="0.9673735725938009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776512"/>
        <c:axId val="180986624"/>
      </c:barChart>
      <c:catAx>
        <c:axId val="15777651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0986624"/>
        <c:crosses val="autoZero"/>
        <c:auto val="1"/>
        <c:lblAlgn val="ctr"/>
        <c:lblOffset val="100"/>
        <c:tickMarkSkip val="1"/>
        <c:noMultiLvlLbl val="0"/>
      </c:catAx>
      <c:valAx>
        <c:axId val="180986624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776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16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82"/>
  <sheetViews>
    <sheetView tabSelected="1" zoomScaleNormal="100" workbookViewId="0">
      <selection activeCell="A14" sqref="A14:D25"/>
    </sheetView>
  </sheetViews>
  <sheetFormatPr defaultRowHeight="12.75" x14ac:dyDescent="0.2"/>
  <cols>
    <col min="1" max="1" width="12.7109375" customWidth="1"/>
    <col min="2" max="2" width="14.42578125" bestFit="1" customWidth="1"/>
    <col min="3" max="3" width="13.7109375" customWidth="1"/>
    <col min="4" max="4" width="15.85546875" customWidth="1"/>
    <col min="5" max="5" width="16.28515625" customWidth="1"/>
    <col min="6" max="6" width="6.7109375" customWidth="1"/>
    <col min="7" max="7" width="12.7109375" customWidth="1"/>
    <col min="8" max="8" width="14.42578125" bestFit="1" customWidth="1"/>
    <col min="9" max="9" width="13.7109375" customWidth="1"/>
    <col min="10" max="10" width="17" customWidth="1"/>
    <col min="11" max="11" width="11.7109375" customWidth="1"/>
    <col min="13" max="13" width="12.7109375" customWidth="1"/>
    <col min="14" max="14" width="11.7109375" customWidth="1"/>
    <col min="15" max="15" width="12.7109375" customWidth="1"/>
    <col min="16" max="16" width="14.7109375" customWidth="1"/>
    <col min="17" max="17" width="12.7109375" customWidth="1"/>
    <col min="18" max="18" width="11.140625" bestFit="1" customWidth="1"/>
    <col min="19" max="19" width="12.7109375" customWidth="1"/>
    <col min="20" max="20" width="14.7109375" customWidth="1"/>
    <col min="21" max="21" width="11.7109375" customWidth="1"/>
    <col min="22" max="22" width="14.7109375" customWidth="1"/>
    <col min="23" max="23" width="11.7109375" customWidth="1"/>
    <col min="24" max="25" width="11.140625" bestFit="1" customWidth="1"/>
    <col min="28" max="28" width="10.7109375" customWidth="1"/>
    <col min="32" max="32" width="3.7109375" customWidth="1"/>
    <col min="36" max="36" width="4.7109375" customWidth="1"/>
    <col min="37" max="37" width="15.7109375" customWidth="1"/>
    <col min="41" max="41" width="12.7109375" customWidth="1"/>
    <col min="42" max="43" width="11.7109375" customWidth="1"/>
    <col min="44" max="44" width="14.7109375" customWidth="1"/>
    <col min="45" max="45" width="11.7109375" customWidth="1"/>
    <col min="47" max="47" width="12.7109375" customWidth="1"/>
    <col min="48" max="49" width="11.7109375" customWidth="1"/>
    <col min="50" max="50" width="14.7109375" customWidth="1"/>
    <col min="51" max="51" width="11.7109375" customWidth="1"/>
    <col min="53" max="55" width="11.7109375" customWidth="1"/>
    <col min="56" max="56" width="14.7109375" customWidth="1"/>
    <col min="57" max="57" width="11.7109375" customWidth="1"/>
    <col min="59" max="61" width="11.7109375" customWidth="1"/>
    <col min="62" max="62" width="14.7109375" customWidth="1"/>
    <col min="63" max="63" width="11.7109375" customWidth="1"/>
    <col min="65" max="65" width="12.7109375" customWidth="1"/>
    <col min="66" max="67" width="11.7109375" customWidth="1"/>
    <col min="68" max="68" width="14.7109375" customWidth="1"/>
    <col min="69" max="69" width="11.7109375" customWidth="1"/>
    <col min="71" max="71" width="12.7109375" customWidth="1"/>
    <col min="72" max="73" width="11.7109375" customWidth="1"/>
    <col min="74" max="74" width="14.7109375" customWidth="1"/>
    <col min="75" max="75" width="11.7109375" customWidth="1"/>
  </cols>
  <sheetData>
    <row r="1" spans="1:13" x14ac:dyDescent="0.2">
      <c r="A1" t="s">
        <v>65</v>
      </c>
    </row>
    <row r="3" spans="1:13" x14ac:dyDescent="0.2">
      <c r="G3" s="5" t="s">
        <v>61</v>
      </c>
    </row>
    <row r="4" spans="1:13" x14ac:dyDescent="0.2">
      <c r="A4" s="45" t="s">
        <v>66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3" x14ac:dyDescent="0.2">
      <c r="A5" s="45" t="s">
        <v>62</v>
      </c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3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3" s="13" customFormat="1" x14ac:dyDescent="0.2">
      <c r="A7" s="40" t="s">
        <v>0</v>
      </c>
      <c r="B7" s="40"/>
      <c r="C7" s="40"/>
      <c r="D7" s="40"/>
      <c r="E7" s="40"/>
      <c r="F7" s="12"/>
      <c r="G7" s="40" t="s">
        <v>1</v>
      </c>
      <c r="H7" s="40"/>
      <c r="I7" s="40"/>
      <c r="J7" s="40"/>
      <c r="K7" s="40"/>
    </row>
    <row r="8" spans="1:13" s="13" customForma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3" s="13" customFormat="1" x14ac:dyDescent="0.2">
      <c r="A9" s="14"/>
      <c r="B9" s="14"/>
      <c r="C9" s="14"/>
      <c r="D9" s="14" t="s">
        <v>2</v>
      </c>
      <c r="E9" s="14" t="s">
        <v>3</v>
      </c>
      <c r="F9" s="12"/>
      <c r="G9" s="14"/>
      <c r="H9" s="14"/>
      <c r="I9" s="14"/>
      <c r="J9" s="14" t="s">
        <v>2</v>
      </c>
      <c r="K9" s="14" t="s">
        <v>3</v>
      </c>
    </row>
    <row r="10" spans="1:13" s="13" customFormat="1" x14ac:dyDescent="0.2">
      <c r="A10" s="15" t="s">
        <v>4</v>
      </c>
      <c r="B10" s="14" t="s">
        <v>5</v>
      </c>
      <c r="C10" s="14" t="s">
        <v>6</v>
      </c>
      <c r="D10" s="14" t="s">
        <v>7</v>
      </c>
      <c r="E10" s="14" t="s">
        <v>8</v>
      </c>
      <c r="F10" s="12"/>
      <c r="G10" s="15" t="s">
        <v>4</v>
      </c>
      <c r="H10" s="14" t="s">
        <v>5</v>
      </c>
      <c r="I10" s="14" t="s">
        <v>6</v>
      </c>
      <c r="J10" s="14" t="s">
        <v>7</v>
      </c>
      <c r="K10" s="14" t="s">
        <v>8</v>
      </c>
    </row>
    <row r="11" spans="1:13" s="13" customFormat="1" x14ac:dyDescent="0.2">
      <c r="A11" s="15" t="s">
        <v>9</v>
      </c>
      <c r="B11" s="14" t="s">
        <v>10</v>
      </c>
      <c r="C11" s="14" t="s">
        <v>11</v>
      </c>
      <c r="D11" s="14" t="s">
        <v>12</v>
      </c>
      <c r="E11" s="14" t="s">
        <v>13</v>
      </c>
      <c r="F11" s="12"/>
      <c r="G11" s="15" t="s">
        <v>9</v>
      </c>
      <c r="H11" s="14" t="s">
        <v>10</v>
      </c>
      <c r="I11" s="14" t="s">
        <v>11</v>
      </c>
      <c r="J11" s="14" t="s">
        <v>12</v>
      </c>
      <c r="K11" s="14" t="s">
        <v>13</v>
      </c>
    </row>
    <row r="14" spans="1:13" s="13" customFormat="1" x14ac:dyDescent="0.2">
      <c r="A14" s="13" t="s">
        <v>14</v>
      </c>
      <c r="B14" s="13">
        <f>SUM(B16:B25)</f>
        <v>99869</v>
      </c>
      <c r="C14" s="13">
        <f>SUM(C17:C25)</f>
        <v>1501323</v>
      </c>
      <c r="D14" s="37">
        <f>SUM(D16:D25)</f>
        <v>18023341309</v>
      </c>
      <c r="E14" s="17">
        <f>11522/3</f>
        <v>3840.6666666666665</v>
      </c>
      <c r="G14" s="13" t="s">
        <v>14</v>
      </c>
      <c r="H14" s="13">
        <f>SUM(H16:H25)</f>
        <v>533</v>
      </c>
      <c r="I14" s="13">
        <f>SUM(I16:I25)</f>
        <v>9176</v>
      </c>
      <c r="J14" s="13">
        <f>SUM(J16:J23)</f>
        <v>186095018</v>
      </c>
      <c r="K14" s="13">
        <f>20375/3</f>
        <v>6791.666666666667</v>
      </c>
    </row>
    <row r="15" spans="1:13" x14ac:dyDescent="0.2">
      <c r="L15" s="23"/>
      <c r="M15" s="23"/>
    </row>
    <row r="16" spans="1:13" x14ac:dyDescent="0.2">
      <c r="A16" t="s">
        <v>15</v>
      </c>
      <c r="B16">
        <f t="shared" ref="B16:C21" si="0">H16+B38+H38+B68+B116+H116+B137+H137+B166+H166+B187+H187+H215+B215+H236+B236+B264+H68</f>
        <v>12371</v>
      </c>
      <c r="C16">
        <f t="shared" si="0"/>
        <v>0</v>
      </c>
      <c r="D16">
        <f>SUM(J16,D38,J38,D68,J68,D116,J116,D137,J137,D166,J166,D187,J187,D215,J215,D236,J236,D264)</f>
        <v>66427858</v>
      </c>
      <c r="E16">
        <f>13458/3</f>
        <v>4486</v>
      </c>
      <c r="G16" t="s">
        <v>15</v>
      </c>
      <c r="H16">
        <v>63</v>
      </c>
      <c r="I16">
        <v>0</v>
      </c>
      <c r="J16">
        <v>2170503</v>
      </c>
      <c r="K16">
        <f>49706/3</f>
        <v>16568.666666666668</v>
      </c>
      <c r="L16" s="23"/>
      <c r="M16" s="23"/>
    </row>
    <row r="17" spans="1:13" x14ac:dyDescent="0.2">
      <c r="A17" t="s">
        <v>16</v>
      </c>
      <c r="B17">
        <f t="shared" si="0"/>
        <v>46910</v>
      </c>
      <c r="C17">
        <f t="shared" si="0"/>
        <v>85655</v>
      </c>
      <c r="D17">
        <f>SUM(J17,D39,J39,D69,J69,D117,J117,D138,J138,D167,J167,D188,J188,D216,J216,D237,J237,D265)</f>
        <v>1099674694</v>
      </c>
      <c r="E17">
        <f>12680/3</f>
        <v>4226.666666666667</v>
      </c>
      <c r="G17" t="s">
        <v>16</v>
      </c>
      <c r="H17">
        <v>214</v>
      </c>
      <c r="I17">
        <v>378</v>
      </c>
      <c r="J17">
        <v>6052423</v>
      </c>
      <c r="K17">
        <f>15361/3</f>
        <v>5120.333333333333</v>
      </c>
      <c r="L17" s="23"/>
      <c r="M17" s="23"/>
    </row>
    <row r="18" spans="1:13" x14ac:dyDescent="0.2">
      <c r="A18" t="s">
        <v>17</v>
      </c>
      <c r="B18">
        <f t="shared" si="0"/>
        <v>15254</v>
      </c>
      <c r="C18">
        <f t="shared" si="0"/>
        <v>101590</v>
      </c>
      <c r="D18">
        <f t="shared" ref="D18:D20" si="1">SUM(J18,D40,J40,D70,J70,D118,J118,D139,J139,D168,J168,D189,J189,D217,J217,D238,J238,D266)</f>
        <v>1006819822</v>
      </c>
      <c r="E18">
        <f>9663/3</f>
        <v>3221</v>
      </c>
      <c r="G18" t="s">
        <v>17</v>
      </c>
      <c r="H18">
        <v>103</v>
      </c>
      <c r="I18">
        <v>686</v>
      </c>
      <c r="J18">
        <v>10835692</v>
      </c>
      <c r="K18">
        <f>16157/3</f>
        <v>5385.666666666667</v>
      </c>
      <c r="L18" s="23"/>
      <c r="M18" s="23"/>
    </row>
    <row r="19" spans="1:13" x14ac:dyDescent="0.2">
      <c r="A19" t="s">
        <v>56</v>
      </c>
      <c r="B19">
        <f t="shared" si="0"/>
        <v>11526</v>
      </c>
      <c r="C19">
        <f t="shared" si="0"/>
        <v>156364</v>
      </c>
      <c r="D19">
        <f t="shared" si="1"/>
        <v>1507570668</v>
      </c>
      <c r="E19">
        <f>9432/3</f>
        <v>3144</v>
      </c>
      <c r="G19" t="s">
        <v>56</v>
      </c>
      <c r="H19">
        <v>67</v>
      </c>
      <c r="I19">
        <v>895</v>
      </c>
      <c r="J19">
        <v>12700623</v>
      </c>
      <c r="K19">
        <f>14449/3</f>
        <v>4816.333333333333</v>
      </c>
      <c r="L19" s="23"/>
      <c r="M19" s="23"/>
    </row>
    <row r="20" spans="1:13" x14ac:dyDescent="0.2">
      <c r="A20" t="s">
        <v>18</v>
      </c>
      <c r="B20">
        <f t="shared" si="0"/>
        <v>8456</v>
      </c>
      <c r="C20">
        <f t="shared" si="0"/>
        <v>255846</v>
      </c>
      <c r="D20">
        <f t="shared" si="1"/>
        <v>2636054834</v>
      </c>
      <c r="E20">
        <f>10136/3</f>
        <v>3378.6666666666665</v>
      </c>
      <c r="G20" t="s">
        <v>18</v>
      </c>
      <c r="H20">
        <v>48</v>
      </c>
      <c r="I20">
        <v>1363</v>
      </c>
      <c r="J20">
        <v>28365300</v>
      </c>
      <c r="K20">
        <f>20505/3</f>
        <v>6835</v>
      </c>
      <c r="L20" s="23"/>
      <c r="M20" s="23"/>
    </row>
    <row r="21" spans="1:13" x14ac:dyDescent="0.2">
      <c r="A21" t="s">
        <v>19</v>
      </c>
      <c r="B21">
        <f t="shared" si="0"/>
        <v>3151</v>
      </c>
      <c r="C21">
        <f t="shared" si="0"/>
        <v>217012</v>
      </c>
      <c r="D21">
        <f>SUM(J21,D43,J43,D73,J73,D121,J121,D142,J142,D171,J171,D192,J192,D220,J220,D241,J241,D269)</f>
        <v>2462922779</v>
      </c>
      <c r="E21">
        <f>10515/3</f>
        <v>3505</v>
      </c>
      <c r="G21" t="s">
        <v>19</v>
      </c>
      <c r="H21">
        <v>20</v>
      </c>
      <c r="I21">
        <v>1362</v>
      </c>
      <c r="J21">
        <v>27739833</v>
      </c>
      <c r="K21">
        <f>21116/3</f>
        <v>7038.666666666667</v>
      </c>
      <c r="L21" s="23"/>
      <c r="M21" s="23"/>
    </row>
    <row r="22" spans="1:13" x14ac:dyDescent="0.2">
      <c r="A22" t="s">
        <v>20</v>
      </c>
      <c r="B22">
        <v>1574</v>
      </c>
      <c r="C22">
        <v>234537</v>
      </c>
      <c r="D22">
        <v>2843649420</v>
      </c>
      <c r="E22">
        <f>11894/3</f>
        <v>3964.6666666666665</v>
      </c>
      <c r="G22" t="s">
        <v>20</v>
      </c>
      <c r="H22">
        <v>12</v>
      </c>
      <c r="I22">
        <v>1658</v>
      </c>
      <c r="J22">
        <v>36063646</v>
      </c>
      <c r="K22">
        <f>21968/3</f>
        <v>7322.666666666667</v>
      </c>
      <c r="L22" s="23"/>
      <c r="M22" s="23"/>
    </row>
    <row r="23" spans="1:13" x14ac:dyDescent="0.2">
      <c r="A23" t="s">
        <v>21</v>
      </c>
      <c r="B23">
        <v>385</v>
      </c>
      <c r="C23">
        <v>131083</v>
      </c>
      <c r="D23">
        <v>1803952220</v>
      </c>
      <c r="E23">
        <f>13479/3</f>
        <v>4493</v>
      </c>
      <c r="G23" t="s">
        <v>22</v>
      </c>
      <c r="H23">
        <v>6</v>
      </c>
      <c r="I23">
        <v>2834</v>
      </c>
      <c r="J23">
        <v>62166998</v>
      </c>
      <c r="K23">
        <v>7381</v>
      </c>
      <c r="L23" s="23"/>
      <c r="M23" s="23"/>
    </row>
    <row r="24" spans="1:13" x14ac:dyDescent="0.2">
      <c r="A24" t="s">
        <v>23</v>
      </c>
      <c r="B24">
        <v>159</v>
      </c>
      <c r="C24">
        <v>105991</v>
      </c>
      <c r="D24">
        <v>1564978746</v>
      </c>
      <c r="E24">
        <f>13795/3</f>
        <v>4598.333333333333</v>
      </c>
      <c r="L24" s="23"/>
      <c r="M24" s="23"/>
    </row>
    <row r="25" spans="1:13" x14ac:dyDescent="0.2">
      <c r="A25" t="s">
        <v>57</v>
      </c>
      <c r="B25">
        <v>83</v>
      </c>
      <c r="C25">
        <v>213245</v>
      </c>
      <c r="D25">
        <v>3031290268</v>
      </c>
      <c r="E25">
        <f>13240/3</f>
        <v>4413.333333333333</v>
      </c>
      <c r="L25" s="23"/>
      <c r="M25" s="23"/>
    </row>
    <row r="28" spans="1:13" x14ac:dyDescent="0.2">
      <c r="C28" s="24"/>
    </row>
    <row r="29" spans="1:13" x14ac:dyDescent="0.2">
      <c r="A29" s="40" t="s">
        <v>25</v>
      </c>
      <c r="B29" s="40"/>
      <c r="C29" s="40"/>
      <c r="D29" s="40"/>
      <c r="E29" s="40"/>
      <c r="F29" s="12"/>
      <c r="G29" s="40" t="s">
        <v>26</v>
      </c>
      <c r="H29" s="40"/>
      <c r="I29" s="40"/>
      <c r="J29" s="40"/>
      <c r="K29" s="40"/>
    </row>
    <row r="30" spans="1:13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3" x14ac:dyDescent="0.2">
      <c r="A31" s="14"/>
      <c r="B31" s="14"/>
      <c r="C31" s="14"/>
      <c r="D31" s="14" t="s">
        <v>2</v>
      </c>
      <c r="E31" s="14" t="s">
        <v>3</v>
      </c>
      <c r="F31" s="12"/>
      <c r="G31" s="14"/>
      <c r="H31" s="14"/>
      <c r="I31" s="14"/>
      <c r="J31" s="14" t="s">
        <v>2</v>
      </c>
      <c r="K31" s="14" t="s">
        <v>3</v>
      </c>
    </row>
    <row r="32" spans="1:13" x14ac:dyDescent="0.2">
      <c r="A32" s="15" t="s">
        <v>4</v>
      </c>
      <c r="B32" s="14" t="s">
        <v>5</v>
      </c>
      <c r="C32" s="14" t="s">
        <v>6</v>
      </c>
      <c r="D32" s="14" t="s">
        <v>7</v>
      </c>
      <c r="E32" s="14" t="s">
        <v>8</v>
      </c>
      <c r="F32" s="12"/>
      <c r="G32" s="15" t="s">
        <v>4</v>
      </c>
      <c r="H32" s="14" t="s">
        <v>5</v>
      </c>
      <c r="I32" s="14" t="s">
        <v>6</v>
      </c>
      <c r="J32" s="14" t="s">
        <v>7</v>
      </c>
      <c r="K32" s="14" t="s">
        <v>8</v>
      </c>
    </row>
    <row r="33" spans="1:12" x14ac:dyDescent="0.2">
      <c r="A33" s="15" t="s">
        <v>9</v>
      </c>
      <c r="B33" s="14" t="s">
        <v>10</v>
      </c>
      <c r="C33" s="14" t="s">
        <v>11</v>
      </c>
      <c r="D33" s="14" t="s">
        <v>12</v>
      </c>
      <c r="E33" s="14" t="s">
        <v>13</v>
      </c>
      <c r="F33" s="12"/>
      <c r="G33" s="15" t="s">
        <v>9</v>
      </c>
      <c r="H33" s="14" t="s">
        <v>10</v>
      </c>
      <c r="I33" s="14" t="s">
        <v>11</v>
      </c>
      <c r="J33" s="14" t="s">
        <v>12</v>
      </c>
      <c r="K33" s="14" t="s">
        <v>13</v>
      </c>
    </row>
    <row r="35" spans="1:12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</row>
    <row r="36" spans="1:12" s="13" customFormat="1" x14ac:dyDescent="0.2">
      <c r="A36" s="26" t="s">
        <v>27</v>
      </c>
      <c r="B36" s="26">
        <f>SUM(B38:B46)</f>
        <v>247</v>
      </c>
      <c r="C36" s="26">
        <f>SUM(C38:C46)</f>
        <v>3872</v>
      </c>
      <c r="D36" s="27">
        <f>SUM(D38:D44)</f>
        <v>90398985</v>
      </c>
      <c r="E36" s="27">
        <f>23273/3</f>
        <v>7757.666666666667</v>
      </c>
      <c r="F36" s="26"/>
      <c r="G36" s="26" t="s">
        <v>14</v>
      </c>
      <c r="H36" s="26">
        <f>SUM(H38:H47)</f>
        <v>11170</v>
      </c>
      <c r="I36" s="26">
        <f>SUM(I38:I47)</f>
        <v>101118</v>
      </c>
      <c r="J36" s="27">
        <f>SUM(J38:J46)</f>
        <v>1214085515</v>
      </c>
      <c r="K36" s="28">
        <f>12215/3</f>
        <v>4071.6666666666665</v>
      </c>
      <c r="L36" s="21"/>
    </row>
    <row r="37" spans="1:12" x14ac:dyDescent="0.2">
      <c r="A37" s="29" t="s">
        <v>28</v>
      </c>
      <c r="B37" s="29" t="s">
        <v>28</v>
      </c>
      <c r="C37" s="29"/>
      <c r="D37" s="29"/>
      <c r="E37" s="29"/>
      <c r="F37" s="29"/>
      <c r="G37" s="29"/>
      <c r="H37" s="29"/>
      <c r="I37" s="29"/>
      <c r="J37" s="29"/>
      <c r="K37" s="29"/>
      <c r="L37" s="23"/>
    </row>
    <row r="38" spans="1:12" x14ac:dyDescent="0.2">
      <c r="A38" s="29" t="s">
        <v>15</v>
      </c>
      <c r="B38" s="29">
        <v>24</v>
      </c>
      <c r="C38" s="29">
        <v>0</v>
      </c>
      <c r="D38" s="29">
        <v>657810</v>
      </c>
      <c r="E38" s="29">
        <f>65781/3</f>
        <v>21927</v>
      </c>
      <c r="F38" s="29"/>
      <c r="G38" s="29" t="s">
        <v>15</v>
      </c>
      <c r="H38" s="29">
        <v>1526</v>
      </c>
      <c r="I38" s="29">
        <v>0</v>
      </c>
      <c r="J38" s="29">
        <v>5207568</v>
      </c>
      <c r="K38" s="29">
        <f>8999/3</f>
        <v>2999.6666666666665</v>
      </c>
      <c r="L38" s="23"/>
    </row>
    <row r="39" spans="1:12" x14ac:dyDescent="0.2">
      <c r="A39" s="29" t="s">
        <v>16</v>
      </c>
      <c r="B39" s="29">
        <v>119</v>
      </c>
      <c r="C39" s="29">
        <v>246</v>
      </c>
      <c r="D39" s="29">
        <v>2783128</v>
      </c>
      <c r="E39" s="29">
        <f>11422/3</f>
        <v>3807.3333333333335</v>
      </c>
      <c r="F39" s="29"/>
      <c r="G39" s="29" t="s">
        <v>16</v>
      </c>
      <c r="H39" s="29">
        <v>5436</v>
      </c>
      <c r="I39" s="29">
        <v>11044</v>
      </c>
      <c r="J39" s="29">
        <v>95932186</v>
      </c>
      <c r="K39" s="29">
        <f>8864/3</f>
        <v>2954.6666666666665</v>
      </c>
      <c r="L39" s="23"/>
    </row>
    <row r="40" spans="1:12" x14ac:dyDescent="0.2">
      <c r="A40" s="29" t="s">
        <v>17</v>
      </c>
      <c r="B40" s="29">
        <v>39</v>
      </c>
      <c r="C40" s="29">
        <v>247</v>
      </c>
      <c r="D40" s="29">
        <v>5428948</v>
      </c>
      <c r="E40" s="29">
        <f>23102/3</f>
        <v>7700.666666666667</v>
      </c>
      <c r="F40" s="29"/>
      <c r="G40" s="29" t="s">
        <v>17</v>
      </c>
      <c r="H40" s="29">
        <v>1962</v>
      </c>
      <c r="I40" s="29">
        <v>12854</v>
      </c>
      <c r="J40" s="29">
        <v>116465330</v>
      </c>
      <c r="K40" s="29">
        <f>9296/3</f>
        <v>3098.6666666666665</v>
      </c>
      <c r="L40" s="23"/>
    </row>
    <row r="41" spans="1:12" x14ac:dyDescent="0.2">
      <c r="A41" s="30" t="s">
        <v>56</v>
      </c>
      <c r="B41" s="29">
        <v>27</v>
      </c>
      <c r="C41" s="29">
        <v>367</v>
      </c>
      <c r="D41" s="29">
        <v>6758251</v>
      </c>
      <c r="E41" s="29">
        <f>18618/3</f>
        <v>6206</v>
      </c>
      <c r="F41" s="29"/>
      <c r="G41" s="30" t="s">
        <v>56</v>
      </c>
      <c r="H41" s="29">
        <v>1182</v>
      </c>
      <c r="I41" s="29">
        <v>15808</v>
      </c>
      <c r="J41" s="29">
        <v>160508594</v>
      </c>
      <c r="K41" s="29">
        <f>10373/3</f>
        <v>3457.6666666666665</v>
      </c>
      <c r="L41" s="23"/>
    </row>
    <row r="42" spans="1:12" x14ac:dyDescent="0.2">
      <c r="A42" s="29" t="s">
        <v>18</v>
      </c>
      <c r="B42" s="29">
        <v>22</v>
      </c>
      <c r="C42" s="29">
        <v>646</v>
      </c>
      <c r="D42" s="29">
        <v>14749770</v>
      </c>
      <c r="E42" s="29">
        <f>22427/3</f>
        <v>7475.666666666667</v>
      </c>
      <c r="F42" s="29"/>
      <c r="G42" s="29" t="s">
        <v>18</v>
      </c>
      <c r="H42" s="29">
        <v>768</v>
      </c>
      <c r="I42" s="29">
        <v>23193</v>
      </c>
      <c r="J42" s="29">
        <v>278093669</v>
      </c>
      <c r="K42" s="29">
        <f>12299/3</f>
        <v>4099.666666666667</v>
      </c>
      <c r="L42" s="23"/>
    </row>
    <row r="43" spans="1:12" x14ac:dyDescent="0.2">
      <c r="A43" s="29" t="s">
        <v>19</v>
      </c>
      <c r="B43" s="29">
        <v>8</v>
      </c>
      <c r="C43" s="29">
        <v>566</v>
      </c>
      <c r="D43" s="29">
        <v>18350933</v>
      </c>
      <c r="E43" s="29">
        <f>32251/3</f>
        <v>10750.333333333334</v>
      </c>
      <c r="F43" s="29"/>
      <c r="G43" s="29" t="s">
        <v>19</v>
      </c>
      <c r="H43" s="29">
        <v>195</v>
      </c>
      <c r="I43" s="29">
        <v>13463</v>
      </c>
      <c r="J43" s="29">
        <v>178528284</v>
      </c>
      <c r="K43" s="29">
        <f>13363/3</f>
        <v>4454.333333333333</v>
      </c>
      <c r="L43" s="23"/>
    </row>
    <row r="44" spans="1:12" x14ac:dyDescent="0.2">
      <c r="A44" s="29" t="s">
        <v>38</v>
      </c>
      <c r="B44" s="29">
        <v>8</v>
      </c>
      <c r="C44" s="29">
        <v>1800</v>
      </c>
      <c r="D44" s="29">
        <v>41670145</v>
      </c>
      <c r="E44" s="29">
        <v>7691</v>
      </c>
      <c r="F44" s="29"/>
      <c r="G44" s="29" t="s">
        <v>20</v>
      </c>
      <c r="H44" s="29">
        <v>78</v>
      </c>
      <c r="I44" s="29">
        <v>11345</v>
      </c>
      <c r="J44" s="29">
        <v>171974017</v>
      </c>
      <c r="K44" s="29">
        <f>15547/3</f>
        <v>5182.333333333333</v>
      </c>
      <c r="L44" s="23"/>
    </row>
    <row r="45" spans="1:12" x14ac:dyDescent="0.2">
      <c r="A45" s="29"/>
      <c r="B45" s="31" t="s">
        <v>28</v>
      </c>
      <c r="C45" s="29"/>
      <c r="D45" s="29"/>
      <c r="E45" s="29"/>
      <c r="F45" s="29"/>
      <c r="G45" s="29" t="s">
        <v>21</v>
      </c>
      <c r="H45" s="29">
        <v>17</v>
      </c>
      <c r="I45" s="29">
        <v>5376</v>
      </c>
      <c r="J45" s="29">
        <v>93388297</v>
      </c>
      <c r="K45" s="31">
        <f>17853/3</f>
        <v>5951</v>
      </c>
      <c r="L45" s="23"/>
    </row>
    <row r="46" spans="1:12" x14ac:dyDescent="0.2">
      <c r="A46" s="29"/>
      <c r="B46" s="29"/>
      <c r="C46" s="29"/>
      <c r="D46" s="29"/>
      <c r="E46" s="29"/>
      <c r="F46" s="29"/>
      <c r="G46" s="35" t="s">
        <v>31</v>
      </c>
      <c r="H46" s="29">
        <v>6</v>
      </c>
      <c r="I46" s="29">
        <v>8035</v>
      </c>
      <c r="J46" s="29">
        <v>113987570</v>
      </c>
      <c r="K46" s="32">
        <f>14186/3</f>
        <v>4728.666666666667</v>
      </c>
      <c r="L46" s="23"/>
    </row>
    <row r="47" spans="1:12" x14ac:dyDescent="0.2">
      <c r="A47" s="29"/>
      <c r="B47" s="29"/>
      <c r="C47" s="29"/>
      <c r="D47" s="29"/>
      <c r="E47" s="29"/>
      <c r="F47" s="29"/>
      <c r="G47" s="29"/>
      <c r="H47" s="29"/>
      <c r="I47" s="29" t="s">
        <v>28</v>
      </c>
      <c r="J47" s="29"/>
      <c r="K47" s="29"/>
      <c r="L47" s="23"/>
    </row>
    <row r="48" spans="1:12" x14ac:dyDescent="0.2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3"/>
    </row>
    <row r="49" spans="1:11" x14ac:dyDescent="0.2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</row>
    <row r="50" spans="1:11" x14ac:dyDescent="0.2">
      <c r="A50" s="38" t="s">
        <v>63</v>
      </c>
      <c r="B50" s="39"/>
      <c r="C50" s="39"/>
      <c r="D50" s="39"/>
      <c r="E50" s="39"/>
      <c r="F50" s="39"/>
      <c r="G50" s="39"/>
      <c r="H50" s="39"/>
      <c r="I50" s="39"/>
    </row>
    <row r="54" spans="1:11" x14ac:dyDescent="0.2">
      <c r="D54" s="38"/>
      <c r="E54" s="39"/>
      <c r="F54" s="39"/>
      <c r="G54" s="39"/>
      <c r="H54" s="39"/>
    </row>
    <row r="55" spans="1:11" x14ac:dyDescent="0.2">
      <c r="D55" s="9"/>
      <c r="E55" s="10"/>
      <c r="F55" s="10"/>
      <c r="G55" s="10"/>
      <c r="H55" s="10"/>
    </row>
    <row r="56" spans="1:11" x14ac:dyDescent="0.2">
      <c r="A56" s="41" t="s">
        <v>67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</row>
    <row r="57" spans="1:11" x14ac:dyDescent="0.2">
      <c r="A57" s="41" t="s">
        <v>64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</row>
    <row r="58" spans="1:1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pans="1:11" x14ac:dyDescent="0.2">
      <c r="A59" s="40" t="s">
        <v>29</v>
      </c>
      <c r="B59" s="40"/>
      <c r="C59" s="40"/>
      <c r="D59" s="40"/>
      <c r="E59" s="40"/>
      <c r="F59" s="12"/>
      <c r="G59" s="40" t="s">
        <v>30</v>
      </c>
      <c r="H59" s="40"/>
      <c r="I59" s="40"/>
      <c r="J59" s="40"/>
      <c r="K59" s="40"/>
    </row>
    <row r="60" spans="1:1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1:11" x14ac:dyDescent="0.2">
      <c r="A61" s="14"/>
      <c r="B61" s="14"/>
      <c r="C61" s="14"/>
      <c r="D61" s="14" t="s">
        <v>2</v>
      </c>
      <c r="E61" s="14" t="s">
        <v>3</v>
      </c>
      <c r="F61" s="12"/>
      <c r="G61" s="14"/>
      <c r="H61" s="14"/>
      <c r="I61" s="14"/>
      <c r="J61" s="14" t="s">
        <v>2</v>
      </c>
      <c r="K61" s="14" t="s">
        <v>3</v>
      </c>
    </row>
    <row r="62" spans="1:11" x14ac:dyDescent="0.2">
      <c r="A62" s="15" t="s">
        <v>4</v>
      </c>
      <c r="B62" s="14" t="s">
        <v>5</v>
      </c>
      <c r="C62" s="14" t="s">
        <v>6</v>
      </c>
      <c r="D62" s="14" t="s">
        <v>7</v>
      </c>
      <c r="E62" s="14" t="s">
        <v>8</v>
      </c>
      <c r="F62" s="12"/>
      <c r="G62" s="15" t="s">
        <v>4</v>
      </c>
      <c r="H62" s="14" t="s">
        <v>5</v>
      </c>
      <c r="I62" s="14" t="s">
        <v>6</v>
      </c>
      <c r="J62" s="14" t="s">
        <v>7</v>
      </c>
      <c r="K62" s="14" t="s">
        <v>8</v>
      </c>
    </row>
    <row r="63" spans="1:11" x14ac:dyDescent="0.2">
      <c r="A63" s="15" t="s">
        <v>9</v>
      </c>
      <c r="B63" s="14" t="s">
        <v>10</v>
      </c>
      <c r="C63" s="14" t="s">
        <v>11</v>
      </c>
      <c r="D63" s="14" t="s">
        <v>12</v>
      </c>
      <c r="E63" s="14" t="s">
        <v>13</v>
      </c>
      <c r="F63" s="12"/>
      <c r="G63" s="15" t="s">
        <v>9</v>
      </c>
      <c r="H63" s="14" t="s">
        <v>10</v>
      </c>
      <c r="I63" s="14" t="s">
        <v>11</v>
      </c>
      <c r="J63" s="14" t="s">
        <v>12</v>
      </c>
      <c r="K63" s="14" t="s">
        <v>13</v>
      </c>
    </row>
    <row r="66" spans="1:14" s="13" customFormat="1" x14ac:dyDescent="0.2">
      <c r="A66" s="13" t="s">
        <v>14</v>
      </c>
      <c r="B66" s="13">
        <f>SUM(B67:B77)</f>
        <v>4307</v>
      </c>
      <c r="C66" s="13">
        <f>SUM(C67:C77)</f>
        <v>131619</v>
      </c>
      <c r="D66" s="16">
        <f>SUM( D68:D77)</f>
        <v>1954812227</v>
      </c>
      <c r="E66" s="17">
        <f>14902/3</f>
        <v>4967.333333333333</v>
      </c>
      <c r="G66" s="13" t="s">
        <v>27</v>
      </c>
      <c r="H66" s="13">
        <f>SUM(H67:H77)</f>
        <v>16226</v>
      </c>
      <c r="I66" s="13">
        <f>SUM(I67:I77)</f>
        <v>218794</v>
      </c>
      <c r="J66" s="16">
        <f>SUM(J68:J77)</f>
        <v>2285628393</v>
      </c>
      <c r="K66" s="16">
        <f>10108/3</f>
        <v>3369.3333333333335</v>
      </c>
    </row>
    <row r="67" spans="1:14" x14ac:dyDescent="0.2">
      <c r="A67" s="25"/>
      <c r="B67" s="25"/>
      <c r="C67" s="25"/>
      <c r="D67" s="25"/>
      <c r="E67" s="25"/>
      <c r="F67" s="25"/>
      <c r="G67" s="25" t="s">
        <v>28</v>
      </c>
      <c r="H67" s="25"/>
      <c r="I67" s="25"/>
      <c r="J67" s="25"/>
      <c r="K67" s="25"/>
    </row>
    <row r="68" spans="1:14" x14ac:dyDescent="0.2">
      <c r="A68" s="29" t="s">
        <v>15</v>
      </c>
      <c r="B68" s="29">
        <v>346</v>
      </c>
      <c r="C68" s="29">
        <v>0</v>
      </c>
      <c r="D68" s="29">
        <v>3289917</v>
      </c>
      <c r="E68" s="29">
        <f>7711/3</f>
        <v>2570.3333333333335</v>
      </c>
      <c r="F68" s="29"/>
      <c r="G68" s="29" t="s">
        <v>15</v>
      </c>
      <c r="H68" s="29">
        <f t="shared" ref="H68:J77" si="2">+B89+H89</f>
        <v>1760</v>
      </c>
      <c r="I68" s="29">
        <f t="shared" si="2"/>
        <v>0</v>
      </c>
      <c r="J68" s="29">
        <f t="shared" si="2"/>
        <v>7754374</v>
      </c>
      <c r="K68" s="29">
        <f>14077/3</f>
        <v>4692.333333333333</v>
      </c>
      <c r="L68" s="23"/>
    </row>
    <row r="69" spans="1:14" x14ac:dyDescent="0.2">
      <c r="A69" s="29" t="s">
        <v>16</v>
      </c>
      <c r="B69" s="29">
        <v>1584</v>
      </c>
      <c r="C69" s="29">
        <v>3160</v>
      </c>
      <c r="D69" s="29">
        <v>44152805</v>
      </c>
      <c r="E69" s="29">
        <f>13946/3</f>
        <v>4648.666666666667</v>
      </c>
      <c r="F69" s="29"/>
      <c r="G69" s="29" t="s">
        <v>16</v>
      </c>
      <c r="H69" s="29">
        <f t="shared" si="2"/>
        <v>6579</v>
      </c>
      <c r="I69" s="29">
        <f t="shared" si="2"/>
        <v>12789</v>
      </c>
      <c r="J69" s="29">
        <f t="shared" si="2"/>
        <v>190878689</v>
      </c>
      <c r="K69" s="29">
        <f>14748/3</f>
        <v>4916</v>
      </c>
      <c r="L69" s="23"/>
    </row>
    <row r="70" spans="1:14" x14ac:dyDescent="0.2">
      <c r="A70" s="29" t="s">
        <v>17</v>
      </c>
      <c r="B70" s="29">
        <v>710</v>
      </c>
      <c r="C70" s="29">
        <v>4695</v>
      </c>
      <c r="D70" s="29">
        <v>43738638</v>
      </c>
      <c r="E70" s="29">
        <f>9398/3</f>
        <v>3132.6666666666665</v>
      </c>
      <c r="F70" s="29"/>
      <c r="G70" s="29" t="s">
        <v>17</v>
      </c>
      <c r="H70" s="29">
        <f t="shared" si="2"/>
        <v>3146</v>
      </c>
      <c r="I70" s="29">
        <f t="shared" si="2"/>
        <v>21215</v>
      </c>
      <c r="J70" s="29">
        <f t="shared" si="2"/>
        <v>208733445</v>
      </c>
      <c r="K70" s="29">
        <f>9238/3</f>
        <v>3079.3333333333335</v>
      </c>
      <c r="L70" s="23"/>
    </row>
    <row r="71" spans="1:14" x14ac:dyDescent="0.2">
      <c r="A71" s="30" t="s">
        <v>56</v>
      </c>
      <c r="B71" s="29">
        <v>605</v>
      </c>
      <c r="C71" s="29">
        <v>8384</v>
      </c>
      <c r="D71" s="29">
        <v>85553253</v>
      </c>
      <c r="E71" s="29">
        <f>10381/3</f>
        <v>3460.3333333333335</v>
      </c>
      <c r="F71" s="29"/>
      <c r="G71" s="30" t="s">
        <v>56</v>
      </c>
      <c r="H71" s="29">
        <f t="shared" si="2"/>
        <v>2502</v>
      </c>
      <c r="I71" s="29">
        <f t="shared" si="2"/>
        <v>33513</v>
      </c>
      <c r="J71" s="29">
        <f t="shared" si="2"/>
        <v>316571525</v>
      </c>
      <c r="K71" s="29">
        <f>8964/3</f>
        <v>2988</v>
      </c>
      <c r="L71" s="23"/>
    </row>
    <row r="72" spans="1:14" x14ac:dyDescent="0.2">
      <c r="A72" s="29" t="s">
        <v>18</v>
      </c>
      <c r="B72" s="29">
        <v>579</v>
      </c>
      <c r="C72" s="29">
        <v>17805</v>
      </c>
      <c r="D72" s="29">
        <v>205576250</v>
      </c>
      <c r="E72" s="29">
        <f>11626/3</f>
        <v>3875.3333333333335</v>
      </c>
      <c r="F72" s="29"/>
      <c r="G72" s="29" t="s">
        <v>18</v>
      </c>
      <c r="H72" s="29">
        <f t="shared" si="2"/>
        <v>1422</v>
      </c>
      <c r="I72" s="29">
        <f t="shared" si="2"/>
        <v>42139</v>
      </c>
      <c r="J72" s="29">
        <f t="shared" si="2"/>
        <v>424410962</v>
      </c>
      <c r="K72" s="29">
        <f>9865/3</f>
        <v>3288.3333333333335</v>
      </c>
      <c r="L72" s="23"/>
    </row>
    <row r="73" spans="1:14" x14ac:dyDescent="0.2">
      <c r="A73" s="29" t="s">
        <v>19</v>
      </c>
      <c r="B73" s="29">
        <v>240</v>
      </c>
      <c r="C73" s="29">
        <v>16961</v>
      </c>
      <c r="D73" s="29">
        <v>232289423</v>
      </c>
      <c r="E73" s="29">
        <f>13829/3</f>
        <v>4609.666666666667</v>
      </c>
      <c r="F73" s="29"/>
      <c r="G73" s="29" t="s">
        <v>19</v>
      </c>
      <c r="H73" s="29">
        <f t="shared" si="2"/>
        <v>429</v>
      </c>
      <c r="I73" s="29">
        <f t="shared" si="2"/>
        <v>29620</v>
      </c>
      <c r="J73" s="29">
        <f t="shared" si="2"/>
        <v>304113826</v>
      </c>
      <c r="K73" s="29">
        <f>9608/3</f>
        <v>3202.6666666666665</v>
      </c>
      <c r="L73" s="23"/>
    </row>
    <row r="74" spans="1:14" x14ac:dyDescent="0.2">
      <c r="A74" s="29" t="s">
        <v>20</v>
      </c>
      <c r="B74" s="29">
        <v>149</v>
      </c>
      <c r="C74" s="29">
        <v>23632</v>
      </c>
      <c r="D74" s="29">
        <v>334768509</v>
      </c>
      <c r="E74" s="29">
        <f>14216/3</f>
        <v>4738.666666666667</v>
      </c>
      <c r="F74" s="29"/>
      <c r="G74" s="29" t="s">
        <v>20</v>
      </c>
      <c r="H74" s="29">
        <f>+B95+H95</f>
        <v>316</v>
      </c>
      <c r="I74" s="29">
        <f t="shared" si="2"/>
        <v>48042</v>
      </c>
      <c r="J74" s="29">
        <f t="shared" si="2"/>
        <v>457719284</v>
      </c>
      <c r="K74" s="29">
        <f>9946/3</f>
        <v>3315.3333333333335</v>
      </c>
      <c r="L74" s="23"/>
    </row>
    <row r="75" spans="1:14" x14ac:dyDescent="0.2">
      <c r="A75" s="29" t="s">
        <v>21</v>
      </c>
      <c r="B75" s="29">
        <v>59</v>
      </c>
      <c r="C75" s="29">
        <v>20628</v>
      </c>
      <c r="D75" s="29">
        <v>363772714</v>
      </c>
      <c r="E75" s="29">
        <f>17793/3</f>
        <v>5931</v>
      </c>
      <c r="F75" s="29"/>
      <c r="G75" s="29" t="s">
        <v>21</v>
      </c>
      <c r="H75" s="29">
        <f t="shared" ref="H75:H77" si="3">+B96+H96</f>
        <v>60</v>
      </c>
      <c r="I75" s="29">
        <f t="shared" si="2"/>
        <v>19800</v>
      </c>
      <c r="J75" s="29">
        <f t="shared" si="2"/>
        <v>195080435</v>
      </c>
      <c r="K75" s="29">
        <f>9257/3</f>
        <v>3085.6666666666665</v>
      </c>
      <c r="L75" s="23"/>
      <c r="M75" s="6"/>
      <c r="N75" s="6"/>
    </row>
    <row r="76" spans="1:14" x14ac:dyDescent="0.2">
      <c r="A76" s="29" t="s">
        <v>23</v>
      </c>
      <c r="B76" s="29">
        <v>20</v>
      </c>
      <c r="C76" s="29">
        <v>13295</v>
      </c>
      <c r="D76" s="29">
        <v>218923713</v>
      </c>
      <c r="E76" s="29">
        <f>16477/3</f>
        <v>5492.333333333333</v>
      </c>
      <c r="F76" s="29"/>
      <c r="G76" s="29" t="s">
        <v>23</v>
      </c>
      <c r="H76" s="29">
        <f t="shared" si="3"/>
        <v>8</v>
      </c>
      <c r="I76" s="29">
        <f t="shared" si="2"/>
        <v>5457</v>
      </c>
      <c r="J76" s="29">
        <f t="shared" si="2"/>
        <v>80577505</v>
      </c>
      <c r="K76" s="29">
        <f>14596/3</f>
        <v>4865.333333333333</v>
      </c>
      <c r="L76" s="23"/>
      <c r="M76" s="6"/>
      <c r="N76" s="6"/>
    </row>
    <row r="77" spans="1:14" x14ac:dyDescent="0.2">
      <c r="A77" s="29" t="s">
        <v>24</v>
      </c>
      <c r="B77" s="29">
        <v>15</v>
      </c>
      <c r="C77" s="29">
        <v>23059</v>
      </c>
      <c r="D77" s="29">
        <v>422747005</v>
      </c>
      <c r="E77" s="29">
        <f>18434/3</f>
        <v>6144.666666666667</v>
      </c>
      <c r="F77" s="29"/>
      <c r="G77" s="29" t="s">
        <v>24</v>
      </c>
      <c r="H77" s="29">
        <f t="shared" si="3"/>
        <v>4</v>
      </c>
      <c r="I77" s="29">
        <f t="shared" si="2"/>
        <v>6219</v>
      </c>
      <c r="J77" s="29">
        <f t="shared" si="2"/>
        <v>99788348</v>
      </c>
      <c r="K77" s="29">
        <f>15120/3</f>
        <v>5040</v>
      </c>
      <c r="L77" s="23"/>
    </row>
    <row r="78" spans="1:14" x14ac:dyDescent="0.2">
      <c r="A78" s="25"/>
      <c r="B78" s="25"/>
      <c r="C78" s="25"/>
      <c r="D78" s="25"/>
      <c r="E78" s="25"/>
      <c r="F78" s="25"/>
      <c r="G78" s="33"/>
      <c r="H78" s="33"/>
      <c r="I78" s="33"/>
      <c r="J78" s="33"/>
      <c r="K78" s="33"/>
    </row>
    <row r="80" spans="1:14" x14ac:dyDescent="0.2">
      <c r="A80" s="40" t="s">
        <v>32</v>
      </c>
      <c r="B80" s="40"/>
      <c r="C80" s="40"/>
      <c r="D80" s="40"/>
      <c r="E80" s="40"/>
      <c r="F80" s="12"/>
      <c r="G80" s="40" t="s">
        <v>33</v>
      </c>
      <c r="H80" s="40"/>
      <c r="I80" s="40"/>
      <c r="J80" s="40"/>
      <c r="K80" s="40"/>
    </row>
    <row r="81" spans="1:12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pans="1:12" x14ac:dyDescent="0.2">
      <c r="A82" s="14"/>
      <c r="B82" s="14"/>
      <c r="C82" s="14"/>
      <c r="D82" s="14" t="s">
        <v>2</v>
      </c>
      <c r="E82" s="14" t="s">
        <v>3</v>
      </c>
      <c r="F82" s="12"/>
      <c r="G82" s="14"/>
      <c r="H82" s="14"/>
      <c r="I82" s="14"/>
      <c r="J82" s="14" t="s">
        <v>2</v>
      </c>
      <c r="K82" s="14" t="s">
        <v>3</v>
      </c>
    </row>
    <row r="83" spans="1:12" x14ac:dyDescent="0.2">
      <c r="A83" s="15" t="s">
        <v>4</v>
      </c>
      <c r="B83" s="14" t="s">
        <v>5</v>
      </c>
      <c r="C83" s="14" t="s">
        <v>6</v>
      </c>
      <c r="D83" s="14" t="s">
        <v>7</v>
      </c>
      <c r="E83" s="14" t="s">
        <v>8</v>
      </c>
      <c r="F83" s="12"/>
      <c r="G83" s="15" t="s">
        <v>4</v>
      </c>
      <c r="H83" s="14" t="s">
        <v>5</v>
      </c>
      <c r="I83" s="14" t="s">
        <v>6</v>
      </c>
      <c r="J83" s="14" t="s">
        <v>7</v>
      </c>
      <c r="K83" s="14" t="s">
        <v>8</v>
      </c>
    </row>
    <row r="84" spans="1:12" x14ac:dyDescent="0.2">
      <c r="A84" s="15" t="s">
        <v>9</v>
      </c>
      <c r="B84" s="14" t="s">
        <v>10</v>
      </c>
      <c r="C84" s="14" t="s">
        <v>11</v>
      </c>
      <c r="D84" s="14" t="s">
        <v>12</v>
      </c>
      <c r="E84" s="14" t="s">
        <v>13</v>
      </c>
      <c r="F84" s="12"/>
      <c r="G84" s="15" t="s">
        <v>9</v>
      </c>
      <c r="H84" s="14" t="s">
        <v>10</v>
      </c>
      <c r="I84" s="14" t="s">
        <v>11</v>
      </c>
      <c r="J84" s="14" t="s">
        <v>12</v>
      </c>
      <c r="K84" s="14" t="s">
        <v>13</v>
      </c>
    </row>
    <row r="87" spans="1:12" s="13" customFormat="1" x14ac:dyDescent="0.2">
      <c r="A87" s="13" t="s">
        <v>27</v>
      </c>
      <c r="B87" s="13">
        <f>SUM(B89:B97)</f>
        <v>6042</v>
      </c>
      <c r="C87" s="13">
        <f>SUM(C89:C97)</f>
        <v>50235</v>
      </c>
      <c r="D87" s="16">
        <f>SUM(D89:D97)</f>
        <v>895843217</v>
      </c>
      <c r="E87" s="17">
        <f>17944/3</f>
        <v>5981.333333333333</v>
      </c>
      <c r="G87" s="13" t="s">
        <v>27</v>
      </c>
      <c r="H87" s="13">
        <f>SUM(H89:H98)</f>
        <v>10184</v>
      </c>
      <c r="I87" s="13">
        <f>SUM(I89:I98)</f>
        <v>168559</v>
      </c>
      <c r="J87" s="16">
        <f>SUM(J89:J98)</f>
        <v>1389785176</v>
      </c>
      <c r="K87" s="16">
        <f>8270/3</f>
        <v>2756.6666666666665</v>
      </c>
    </row>
    <row r="88" spans="1:12" x14ac:dyDescent="0.2">
      <c r="A88" s="25" t="s">
        <v>28</v>
      </c>
      <c r="B88" s="25"/>
      <c r="C88" s="25"/>
      <c r="D88" s="25"/>
      <c r="E88" s="25"/>
      <c r="F88" s="25"/>
      <c r="G88" s="25" t="s">
        <v>28</v>
      </c>
      <c r="H88" s="25"/>
      <c r="I88" s="25"/>
      <c r="J88" s="25"/>
      <c r="K88" s="25"/>
    </row>
    <row r="89" spans="1:12" x14ac:dyDescent="0.2">
      <c r="A89" s="29" t="s">
        <v>15</v>
      </c>
      <c r="B89" s="29">
        <v>601</v>
      </c>
      <c r="C89" s="29">
        <v>0</v>
      </c>
      <c r="D89" s="29">
        <v>3697814</v>
      </c>
      <c r="E89" s="29">
        <f>19127/3</f>
        <v>6375.666666666667</v>
      </c>
      <c r="F89" s="29"/>
      <c r="G89" s="29" t="s">
        <v>15</v>
      </c>
      <c r="H89" s="29">
        <v>1159</v>
      </c>
      <c r="I89" s="29">
        <v>0</v>
      </c>
      <c r="J89" s="29">
        <v>4056560</v>
      </c>
      <c r="K89" s="29">
        <f>8140/3</f>
        <v>2713.3333333333335</v>
      </c>
      <c r="L89" s="23"/>
    </row>
    <row r="90" spans="1:12" x14ac:dyDescent="0.2">
      <c r="A90" s="29" t="s">
        <v>16</v>
      </c>
      <c r="B90" s="29">
        <v>3433</v>
      </c>
      <c r="C90" s="29">
        <v>5874</v>
      </c>
      <c r="D90" s="29">
        <v>130562367</v>
      </c>
      <c r="E90" s="29">
        <f>22521/3</f>
        <v>7507</v>
      </c>
      <c r="F90" s="29"/>
      <c r="G90" s="29" t="s">
        <v>16</v>
      </c>
      <c r="H90" s="29">
        <v>3146</v>
      </c>
      <c r="I90" s="29">
        <v>6915</v>
      </c>
      <c r="J90" s="29">
        <v>60316322</v>
      </c>
      <c r="K90" s="29">
        <f>8707/3</f>
        <v>2902.3333333333335</v>
      </c>
      <c r="L90" s="23"/>
    </row>
    <row r="91" spans="1:12" x14ac:dyDescent="0.2">
      <c r="A91" s="29" t="s">
        <v>17</v>
      </c>
      <c r="B91" s="29">
        <v>871</v>
      </c>
      <c r="C91" s="29">
        <v>5794</v>
      </c>
      <c r="D91" s="29">
        <v>105711122</v>
      </c>
      <c r="E91" s="29">
        <f>18463/3</f>
        <v>6154.333333333333</v>
      </c>
      <c r="F91" s="29"/>
      <c r="G91" s="29" t="s">
        <v>17</v>
      </c>
      <c r="H91" s="29">
        <v>2275</v>
      </c>
      <c r="I91" s="29">
        <v>15421</v>
      </c>
      <c r="J91" s="29">
        <v>103022323</v>
      </c>
      <c r="K91" s="29">
        <f>6680/3</f>
        <v>2226.6666666666665</v>
      </c>
      <c r="L91" s="23"/>
    </row>
    <row r="92" spans="1:12" x14ac:dyDescent="0.2">
      <c r="A92" s="30" t="s">
        <v>56</v>
      </c>
      <c r="B92" s="29">
        <v>582</v>
      </c>
      <c r="C92" s="29">
        <v>7923</v>
      </c>
      <c r="D92" s="29">
        <v>136269886</v>
      </c>
      <c r="E92" s="29">
        <f>17291/3</f>
        <v>5763.666666666667</v>
      </c>
      <c r="F92" s="29"/>
      <c r="G92" s="30" t="s">
        <v>56</v>
      </c>
      <c r="H92" s="29">
        <v>1920</v>
      </c>
      <c r="I92" s="29">
        <v>25590</v>
      </c>
      <c r="J92" s="29">
        <v>180301639</v>
      </c>
      <c r="K92" s="29">
        <f>7098/3</f>
        <v>2366</v>
      </c>
      <c r="L92" s="23"/>
    </row>
    <row r="93" spans="1:12" x14ac:dyDescent="0.2">
      <c r="A93" s="29" t="s">
        <v>18</v>
      </c>
      <c r="B93" s="29">
        <v>389</v>
      </c>
      <c r="C93" s="29">
        <v>11639</v>
      </c>
      <c r="D93" s="29">
        <v>207194622</v>
      </c>
      <c r="E93" s="29">
        <f>17990/3</f>
        <v>5996.666666666667</v>
      </c>
      <c r="F93" s="29"/>
      <c r="G93" s="29" t="s">
        <v>18</v>
      </c>
      <c r="H93" s="29">
        <v>1033</v>
      </c>
      <c r="I93" s="29">
        <v>30500</v>
      </c>
      <c r="J93" s="29">
        <v>217216340</v>
      </c>
      <c r="K93" s="29">
        <f>7180/3</f>
        <v>2393.3333333333335</v>
      </c>
      <c r="L93" s="23"/>
    </row>
    <row r="94" spans="1:12" x14ac:dyDescent="0.2">
      <c r="A94" s="29" t="s">
        <v>19</v>
      </c>
      <c r="B94" s="29">
        <v>109</v>
      </c>
      <c r="C94" s="29">
        <v>7261</v>
      </c>
      <c r="D94" s="29">
        <v>119455400</v>
      </c>
      <c r="E94" s="29">
        <f>16712/3</f>
        <v>5570.666666666667</v>
      </c>
      <c r="F94" s="29"/>
      <c r="G94" s="29" t="s">
        <v>19</v>
      </c>
      <c r="H94" s="29">
        <v>320</v>
      </c>
      <c r="I94" s="29">
        <v>22359</v>
      </c>
      <c r="J94" s="29">
        <v>184658426</v>
      </c>
      <c r="K94" s="29">
        <f>8207/3</f>
        <v>2735.6666666666665</v>
      </c>
      <c r="L94" s="23"/>
    </row>
    <row r="95" spans="1:12" x14ac:dyDescent="0.2">
      <c r="A95" s="29" t="s">
        <v>20</v>
      </c>
      <c r="B95" s="29">
        <v>46</v>
      </c>
      <c r="C95" s="29">
        <v>6449</v>
      </c>
      <c r="D95" s="29">
        <v>101081518</v>
      </c>
      <c r="E95" s="29">
        <f>15727/3</f>
        <v>5242.333333333333</v>
      </c>
      <c r="F95" s="29"/>
      <c r="G95" s="29" t="s">
        <v>20</v>
      </c>
      <c r="H95" s="29">
        <v>270</v>
      </c>
      <c r="I95" s="29">
        <v>41593</v>
      </c>
      <c r="J95" s="29">
        <v>356637766</v>
      </c>
      <c r="K95" s="29">
        <f>8643/3</f>
        <v>2881</v>
      </c>
      <c r="L95" s="23"/>
    </row>
    <row r="96" spans="1:12" x14ac:dyDescent="0.2">
      <c r="A96" s="29" t="s">
        <v>21</v>
      </c>
      <c r="B96" s="29">
        <v>8</v>
      </c>
      <c r="C96" s="29">
        <v>3103</v>
      </c>
      <c r="D96" s="29">
        <v>48606188</v>
      </c>
      <c r="E96" s="29">
        <f>15727/3</f>
        <v>5242.333333333333</v>
      </c>
      <c r="F96" s="29"/>
      <c r="G96" s="29" t="s">
        <v>21</v>
      </c>
      <c r="H96" s="29">
        <v>52</v>
      </c>
      <c r="I96" s="29">
        <v>16697</v>
      </c>
      <c r="J96" s="29">
        <v>146474247</v>
      </c>
      <c r="K96" s="31">
        <f>8848/3</f>
        <v>2949.3333333333335</v>
      </c>
      <c r="L96" s="23"/>
    </row>
    <row r="97" spans="1:12" x14ac:dyDescent="0.2">
      <c r="A97" s="29" t="s">
        <v>31</v>
      </c>
      <c r="B97" s="29">
        <v>3</v>
      </c>
      <c r="C97" s="29">
        <v>2192</v>
      </c>
      <c r="D97" s="29">
        <v>43264300</v>
      </c>
      <c r="E97" s="29">
        <f>20182/3</f>
        <v>6727.333333333333</v>
      </c>
      <c r="F97" s="29"/>
      <c r="G97" s="29" t="s">
        <v>23</v>
      </c>
      <c r="H97" s="29">
        <v>5</v>
      </c>
      <c r="I97" s="29">
        <v>3265</v>
      </c>
      <c r="J97" s="29">
        <v>37313205</v>
      </c>
      <c r="K97" s="31">
        <f>11370/3</f>
        <v>3790</v>
      </c>
      <c r="L97" s="23"/>
    </row>
    <row r="98" spans="1:12" x14ac:dyDescent="0.2">
      <c r="A98" s="20"/>
      <c r="B98" s="20"/>
      <c r="C98" s="20"/>
      <c r="D98" s="20"/>
      <c r="G98" s="29" t="s">
        <v>24</v>
      </c>
      <c r="H98">
        <v>4</v>
      </c>
      <c r="I98">
        <v>6219</v>
      </c>
      <c r="J98">
        <v>99788348</v>
      </c>
      <c r="K98" s="8">
        <f>16790/3</f>
        <v>5596.666666666667</v>
      </c>
    </row>
    <row r="99" spans="1:12" x14ac:dyDescent="0.2">
      <c r="A99" s="20"/>
      <c r="B99" s="20"/>
      <c r="C99" s="20"/>
      <c r="D99" s="20"/>
      <c r="K99" s="8"/>
    </row>
    <row r="100" spans="1:12" x14ac:dyDescent="0.2">
      <c r="A100" s="38" t="s">
        <v>63</v>
      </c>
      <c r="B100" s="39"/>
      <c r="C100" s="39"/>
      <c r="D100" s="39"/>
      <c r="E100" s="39"/>
      <c r="F100" s="39"/>
      <c r="G100" s="39"/>
      <c r="H100" s="39"/>
      <c r="I100" s="39"/>
    </row>
    <row r="101" spans="1:12" x14ac:dyDescent="0.2">
      <c r="A101" s="38"/>
      <c r="B101" s="39"/>
      <c r="C101" s="39"/>
      <c r="D101" s="39"/>
      <c r="E101" s="39"/>
      <c r="F101" s="39"/>
      <c r="G101" s="39"/>
      <c r="H101" s="39"/>
      <c r="I101" s="39"/>
    </row>
    <row r="103" spans="1:12" x14ac:dyDescent="0.2">
      <c r="D103" s="38"/>
      <c r="E103" s="38"/>
      <c r="F103" s="38"/>
      <c r="G103" s="38"/>
      <c r="H103" s="38"/>
    </row>
    <row r="104" spans="1:12" x14ac:dyDescent="0.2">
      <c r="A104" s="41" t="s">
        <v>67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</row>
    <row r="105" spans="1:12" x14ac:dyDescent="0.2">
      <c r="A105" s="41" t="s">
        <v>64</v>
      </c>
      <c r="B105" s="43"/>
      <c r="C105" s="43"/>
      <c r="D105" s="43"/>
      <c r="E105" s="43"/>
      <c r="F105" s="43"/>
      <c r="G105" s="43"/>
      <c r="H105" s="43"/>
      <c r="I105" s="43"/>
      <c r="J105" s="43"/>
      <c r="K105" s="43"/>
    </row>
    <row r="106" spans="1:12" x14ac:dyDescent="0.2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</row>
    <row r="107" spans="1:12" x14ac:dyDescent="0.2">
      <c r="A107" s="40" t="s">
        <v>34</v>
      </c>
      <c r="B107" s="40"/>
      <c r="C107" s="40"/>
      <c r="D107" s="40"/>
      <c r="E107" s="40"/>
      <c r="F107" s="12"/>
      <c r="G107" s="40" t="s">
        <v>35</v>
      </c>
      <c r="H107" s="40"/>
      <c r="I107" s="40"/>
      <c r="J107" s="40"/>
      <c r="K107" s="40"/>
    </row>
    <row r="108" spans="1:12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</row>
    <row r="109" spans="1:12" x14ac:dyDescent="0.2">
      <c r="A109" s="14"/>
      <c r="B109" s="14"/>
      <c r="C109" s="14"/>
      <c r="D109" s="14" t="s">
        <v>2</v>
      </c>
      <c r="E109" s="14" t="s">
        <v>3</v>
      </c>
      <c r="F109" s="12"/>
      <c r="G109" s="14"/>
      <c r="H109" s="14"/>
      <c r="I109" s="14"/>
      <c r="J109" s="14" t="s">
        <v>2</v>
      </c>
      <c r="K109" s="14" t="s">
        <v>3</v>
      </c>
    </row>
    <row r="110" spans="1:12" x14ac:dyDescent="0.2">
      <c r="A110" s="15" t="s">
        <v>4</v>
      </c>
      <c r="B110" s="14" t="s">
        <v>5</v>
      </c>
      <c r="C110" s="14" t="s">
        <v>6</v>
      </c>
      <c r="D110" s="14" t="s">
        <v>7</v>
      </c>
      <c r="E110" s="14" t="s">
        <v>8</v>
      </c>
      <c r="F110" s="12"/>
      <c r="G110" s="15" t="s">
        <v>4</v>
      </c>
      <c r="H110" s="14" t="s">
        <v>5</v>
      </c>
      <c r="I110" s="14" t="s">
        <v>6</v>
      </c>
      <c r="J110" s="14" t="s">
        <v>7</v>
      </c>
      <c r="K110" s="14" t="s">
        <v>8</v>
      </c>
    </row>
    <row r="111" spans="1:12" x14ac:dyDescent="0.2">
      <c r="A111" s="15" t="s">
        <v>9</v>
      </c>
      <c r="B111" s="14" t="s">
        <v>10</v>
      </c>
      <c r="C111" s="14" t="s">
        <v>11</v>
      </c>
      <c r="D111" s="14" t="s">
        <v>12</v>
      </c>
      <c r="E111" s="14" t="s">
        <v>13</v>
      </c>
      <c r="F111" s="12"/>
      <c r="G111" s="15" t="s">
        <v>9</v>
      </c>
      <c r="H111" s="14" t="s">
        <v>10</v>
      </c>
      <c r="I111" s="14" t="s">
        <v>11</v>
      </c>
      <c r="J111" s="14" t="s">
        <v>12</v>
      </c>
      <c r="K111" s="14" t="s">
        <v>13</v>
      </c>
    </row>
    <row r="113" spans="1:11" x14ac:dyDescent="0.2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</row>
    <row r="114" spans="1:11" s="13" customFormat="1" x14ac:dyDescent="0.2">
      <c r="A114" s="26" t="s">
        <v>27</v>
      </c>
      <c r="B114" s="26">
        <f>SUM(B116:B125)</f>
        <v>2670</v>
      </c>
      <c r="C114" s="26">
        <f>SUM(C116:C125)</f>
        <v>57188</v>
      </c>
      <c r="D114" s="27">
        <f>SUM(D116:D125)</f>
        <v>767525919</v>
      </c>
      <c r="E114" s="28">
        <f>13457/3</f>
        <v>4485.666666666667</v>
      </c>
      <c r="F114" s="26"/>
      <c r="G114" s="26" t="s">
        <v>27</v>
      </c>
      <c r="H114" s="26">
        <f>SUM(H116:H125)</f>
        <v>2375</v>
      </c>
      <c r="I114" s="26">
        <f>SUM(I116:I125)</f>
        <v>37060</v>
      </c>
      <c r="J114" s="27">
        <f>SUM(J116:J125)</f>
        <v>788630510</v>
      </c>
      <c r="K114" s="27">
        <f>21123/3</f>
        <v>7041</v>
      </c>
    </row>
    <row r="115" spans="1:11" x14ac:dyDescent="0.2">
      <c r="A115" s="29" t="s">
        <v>28</v>
      </c>
      <c r="B115" s="29"/>
      <c r="C115" s="29"/>
      <c r="D115" s="29"/>
      <c r="E115" s="29"/>
      <c r="F115" s="29"/>
      <c r="G115" s="29" t="s">
        <v>28</v>
      </c>
      <c r="H115" s="29"/>
      <c r="I115" s="29"/>
      <c r="J115" s="29"/>
      <c r="K115" s="29"/>
    </row>
    <row r="116" spans="1:11" x14ac:dyDescent="0.2">
      <c r="A116" s="29" t="s">
        <v>15</v>
      </c>
      <c r="B116" s="29">
        <v>320</v>
      </c>
      <c r="C116" s="29">
        <v>0</v>
      </c>
      <c r="D116" s="29">
        <v>4176111</v>
      </c>
      <c r="E116" s="29">
        <f>12307/3</f>
        <v>4102.333333333333</v>
      </c>
      <c r="F116" s="29"/>
      <c r="G116" s="29" t="s">
        <v>15</v>
      </c>
      <c r="H116" s="29">
        <v>336</v>
      </c>
      <c r="I116" s="29">
        <v>0</v>
      </c>
      <c r="J116">
        <v>3911360</v>
      </c>
      <c r="K116" s="29">
        <f>14853/3</f>
        <v>4951</v>
      </c>
    </row>
    <row r="117" spans="1:11" x14ac:dyDescent="0.2">
      <c r="A117" s="29" t="s">
        <v>16</v>
      </c>
      <c r="B117" s="29">
        <v>1285</v>
      </c>
      <c r="C117" s="29">
        <v>2426</v>
      </c>
      <c r="D117" s="29">
        <v>24481444</v>
      </c>
      <c r="E117" s="29">
        <f>10397/3</f>
        <v>3465.6666666666665</v>
      </c>
      <c r="F117" s="29"/>
      <c r="G117" s="29" t="s">
        <v>16</v>
      </c>
      <c r="H117" s="29">
        <v>1259</v>
      </c>
      <c r="I117" s="29">
        <v>2109</v>
      </c>
      <c r="J117">
        <v>45283977</v>
      </c>
      <c r="K117" s="29">
        <f>21307/3</f>
        <v>7102.333333333333</v>
      </c>
    </row>
    <row r="118" spans="1:11" x14ac:dyDescent="0.2">
      <c r="A118" s="29" t="s">
        <v>17</v>
      </c>
      <c r="B118" s="29">
        <v>365</v>
      </c>
      <c r="C118" s="29">
        <v>2411</v>
      </c>
      <c r="D118" s="29">
        <v>24966822</v>
      </c>
      <c r="E118" s="29">
        <f>10582/3</f>
        <v>3527.3333333333335</v>
      </c>
      <c r="F118" s="29"/>
      <c r="G118" s="29" t="s">
        <v>17</v>
      </c>
      <c r="H118" s="29">
        <v>266</v>
      </c>
      <c r="I118" s="29">
        <v>1769</v>
      </c>
      <c r="J118" s="29">
        <v>32239894</v>
      </c>
      <c r="K118" s="29">
        <f>18730/3</f>
        <v>6243.333333333333</v>
      </c>
    </row>
    <row r="119" spans="1:11" x14ac:dyDescent="0.2">
      <c r="A119" s="30" t="s">
        <v>56</v>
      </c>
      <c r="B119" s="29">
        <v>292</v>
      </c>
      <c r="C119" s="29">
        <v>3924</v>
      </c>
      <c r="D119" s="29">
        <v>44668377</v>
      </c>
      <c r="E119" s="29">
        <f>11498/3</f>
        <v>3832.6666666666665</v>
      </c>
      <c r="F119" s="29"/>
      <c r="G119" s="30" t="s">
        <v>56</v>
      </c>
      <c r="H119" s="29">
        <v>171</v>
      </c>
      <c r="I119" s="29">
        <v>2350</v>
      </c>
      <c r="J119" s="29">
        <v>37326947</v>
      </c>
      <c r="K119" s="29">
        <f>16006/3</f>
        <v>5335.333333333333</v>
      </c>
    </row>
    <row r="120" spans="1:11" x14ac:dyDescent="0.2">
      <c r="A120" s="29" t="s">
        <v>18</v>
      </c>
      <c r="B120" s="29">
        <v>239</v>
      </c>
      <c r="C120" s="29">
        <v>7248</v>
      </c>
      <c r="D120" s="29">
        <v>79787056</v>
      </c>
      <c r="E120" s="29">
        <f>11034/3</f>
        <v>3678</v>
      </c>
      <c r="F120" s="29"/>
      <c r="G120" s="29" t="s">
        <v>18</v>
      </c>
      <c r="H120" s="29">
        <v>198</v>
      </c>
      <c r="I120" s="29">
        <v>6465</v>
      </c>
      <c r="J120" s="29">
        <v>104683859</v>
      </c>
      <c r="K120" s="29">
        <f>15451/3</f>
        <v>5150.333333333333</v>
      </c>
    </row>
    <row r="121" spans="1:11" x14ac:dyDescent="0.2">
      <c r="A121" s="29" t="s">
        <v>19</v>
      </c>
      <c r="B121" s="29">
        <v>70</v>
      </c>
      <c r="C121" s="29">
        <v>5195</v>
      </c>
      <c r="D121" s="29">
        <v>60612827</v>
      </c>
      <c r="E121" s="29">
        <f>11803/3</f>
        <v>3934.3333333333335</v>
      </c>
      <c r="F121" s="29"/>
      <c r="G121" s="29" t="s">
        <v>19</v>
      </c>
      <c r="H121" s="29">
        <v>69</v>
      </c>
      <c r="I121" s="29">
        <v>4664</v>
      </c>
      <c r="J121" s="29">
        <v>70455947</v>
      </c>
      <c r="K121" s="29">
        <f>15512/3</f>
        <v>5170.666666666667</v>
      </c>
    </row>
    <row r="122" spans="1:11" x14ac:dyDescent="0.2">
      <c r="A122" s="29" t="s">
        <v>20</v>
      </c>
      <c r="B122" s="29">
        <v>58</v>
      </c>
      <c r="C122" s="29">
        <v>8461</v>
      </c>
      <c r="D122" s="29">
        <v>97604226</v>
      </c>
      <c r="E122" s="29">
        <f>11659/3</f>
        <v>3886.3333333333335</v>
      </c>
      <c r="F122" s="29"/>
      <c r="G122" s="29" t="s">
        <v>20</v>
      </c>
      <c r="H122" s="29">
        <v>57</v>
      </c>
      <c r="I122" s="29">
        <v>8434</v>
      </c>
      <c r="J122" s="29">
        <v>148382403</v>
      </c>
      <c r="K122" s="29">
        <f>17882/3</f>
        <v>5960.666666666667</v>
      </c>
    </row>
    <row r="123" spans="1:11" x14ac:dyDescent="0.2">
      <c r="A123" s="29" t="s">
        <v>21</v>
      </c>
      <c r="B123" s="29">
        <v>24</v>
      </c>
      <c r="C123" s="29">
        <v>7944</v>
      </c>
      <c r="D123" s="29">
        <v>84476297</v>
      </c>
      <c r="E123" s="29">
        <f>10861/3</f>
        <v>3620.3333333333335</v>
      </c>
      <c r="F123" s="29"/>
      <c r="G123" s="29" t="s">
        <v>21</v>
      </c>
      <c r="H123" s="29">
        <v>9</v>
      </c>
      <c r="I123" s="29">
        <v>3134</v>
      </c>
      <c r="J123" s="29">
        <v>61754604</v>
      </c>
      <c r="K123" s="29">
        <f>19713/3</f>
        <v>6571</v>
      </c>
    </row>
    <row r="124" spans="1:11" x14ac:dyDescent="0.2">
      <c r="A124" s="29" t="s">
        <v>23</v>
      </c>
      <c r="B124" s="29">
        <v>12</v>
      </c>
      <c r="C124" s="29">
        <v>7984</v>
      </c>
      <c r="D124" s="29">
        <v>126809916</v>
      </c>
      <c r="E124" s="29">
        <f>15858/3</f>
        <v>5286</v>
      </c>
      <c r="F124" s="29"/>
      <c r="G124" s="29" t="s">
        <v>23</v>
      </c>
      <c r="H124" s="29">
        <v>7</v>
      </c>
      <c r="I124" s="29">
        <v>4693</v>
      </c>
      <c r="J124" s="29">
        <v>129704534</v>
      </c>
      <c r="K124" s="31">
        <f>27538/3</f>
        <v>9179.3333333333339</v>
      </c>
    </row>
    <row r="125" spans="1:11" x14ac:dyDescent="0.2">
      <c r="A125" s="29" t="s">
        <v>24</v>
      </c>
      <c r="B125" s="29">
        <v>5</v>
      </c>
      <c r="C125" s="29">
        <v>11595</v>
      </c>
      <c r="D125" s="29">
        <v>219942843</v>
      </c>
      <c r="E125" s="29">
        <f>18988/3</f>
        <v>6329.333333333333</v>
      </c>
      <c r="F125" s="29"/>
      <c r="G125" s="29" t="s">
        <v>24</v>
      </c>
      <c r="H125" s="29">
        <v>3</v>
      </c>
      <c r="I125" s="29">
        <v>3442</v>
      </c>
      <c r="J125" s="29">
        <v>154886985</v>
      </c>
      <c r="K125" s="29">
        <f>45082/3</f>
        <v>15027.333333333334</v>
      </c>
    </row>
    <row r="126" spans="1:11" x14ac:dyDescent="0.2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</row>
    <row r="128" spans="1:11" x14ac:dyDescent="0.2">
      <c r="A128" s="40" t="s">
        <v>36</v>
      </c>
      <c r="B128" s="40"/>
      <c r="C128" s="40"/>
      <c r="D128" s="40"/>
      <c r="E128" s="40"/>
      <c r="F128" s="12"/>
      <c r="G128" s="40" t="s">
        <v>37</v>
      </c>
      <c r="H128" s="40"/>
      <c r="I128" s="40"/>
      <c r="J128" s="40"/>
      <c r="K128" s="40"/>
    </row>
    <row r="129" spans="1:12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</row>
    <row r="130" spans="1:12" x14ac:dyDescent="0.2">
      <c r="A130" s="14"/>
      <c r="B130" s="14"/>
      <c r="C130" s="14"/>
      <c r="D130" s="14" t="s">
        <v>2</v>
      </c>
      <c r="E130" s="14" t="s">
        <v>3</v>
      </c>
      <c r="F130" s="12"/>
      <c r="G130" s="14"/>
      <c r="H130" s="14"/>
      <c r="I130" s="14"/>
      <c r="J130" s="14" t="s">
        <v>2</v>
      </c>
      <c r="K130" s="14" t="s">
        <v>3</v>
      </c>
    </row>
    <row r="131" spans="1:12" x14ac:dyDescent="0.2">
      <c r="A131" s="15" t="s">
        <v>4</v>
      </c>
      <c r="B131" s="14" t="s">
        <v>5</v>
      </c>
      <c r="C131" s="14" t="s">
        <v>6</v>
      </c>
      <c r="D131" s="14" t="s">
        <v>7</v>
      </c>
      <c r="E131" s="14" t="s">
        <v>8</v>
      </c>
      <c r="F131" s="12"/>
      <c r="G131" s="15" t="s">
        <v>4</v>
      </c>
      <c r="H131" s="14" t="s">
        <v>5</v>
      </c>
      <c r="I131" s="14" t="s">
        <v>6</v>
      </c>
      <c r="J131" s="14" t="s">
        <v>7</v>
      </c>
      <c r="K131" s="14" t="s">
        <v>8</v>
      </c>
    </row>
    <row r="132" spans="1:12" x14ac:dyDescent="0.2">
      <c r="A132" s="15" t="s">
        <v>9</v>
      </c>
      <c r="B132" s="14" t="s">
        <v>10</v>
      </c>
      <c r="C132" s="14" t="s">
        <v>11</v>
      </c>
      <c r="D132" s="14" t="s">
        <v>12</v>
      </c>
      <c r="E132" s="14" t="s">
        <v>13</v>
      </c>
      <c r="F132" s="12"/>
      <c r="G132" s="15" t="s">
        <v>9</v>
      </c>
      <c r="H132" s="14" t="s">
        <v>10</v>
      </c>
      <c r="I132" s="14" t="s">
        <v>11</v>
      </c>
      <c r="J132" s="14" t="s">
        <v>12</v>
      </c>
      <c r="K132" s="14" t="s">
        <v>13</v>
      </c>
    </row>
    <row r="134" spans="1:12" x14ac:dyDescent="0.2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2" s="13" customFormat="1" x14ac:dyDescent="0.2">
      <c r="A135" s="26" t="s">
        <v>27</v>
      </c>
      <c r="B135" s="26">
        <f>SUM(B137:B146)</f>
        <v>5847</v>
      </c>
      <c r="C135" s="26">
        <f>SUM(C137:C146)</f>
        <v>66306</v>
      </c>
      <c r="D135" s="27">
        <f>SUM( D137:D146)</f>
        <v>1361461919</v>
      </c>
      <c r="E135" s="27">
        <f>20566/3</f>
        <v>6855.333333333333</v>
      </c>
      <c r="F135" s="26"/>
      <c r="G135" s="26" t="s">
        <v>27</v>
      </c>
      <c r="H135" s="26">
        <f>SUM(H137:H143)</f>
        <v>5425</v>
      </c>
      <c r="I135" s="26">
        <f>SUM(I137:I143)</f>
        <v>20336</v>
      </c>
      <c r="J135" s="27">
        <f>SUM(J137:J143)</f>
        <v>261225012</v>
      </c>
      <c r="K135" s="27">
        <f>12899/3</f>
        <v>4299.666666666667</v>
      </c>
      <c r="L135" s="21"/>
    </row>
    <row r="136" spans="1:12" x14ac:dyDescent="0.2">
      <c r="A136" s="29" t="s">
        <v>28</v>
      </c>
      <c r="B136" s="29"/>
      <c r="C136" s="29"/>
      <c r="D136" s="29"/>
      <c r="E136" s="29"/>
      <c r="F136" s="29"/>
      <c r="G136" s="29" t="s">
        <v>28</v>
      </c>
      <c r="H136" s="29"/>
      <c r="I136" s="29"/>
      <c r="J136" s="29"/>
      <c r="K136" s="29"/>
      <c r="L136" s="23"/>
    </row>
    <row r="137" spans="1:12" x14ac:dyDescent="0.2">
      <c r="A137" s="34">
        <v>0</v>
      </c>
      <c r="B137" s="29">
        <v>598</v>
      </c>
      <c r="C137" s="29">
        <v>0</v>
      </c>
      <c r="D137" s="29">
        <v>4424268</v>
      </c>
      <c r="E137" s="29">
        <f>22611/3</f>
        <v>7537</v>
      </c>
      <c r="F137" s="29"/>
      <c r="G137" s="29" t="s">
        <v>15</v>
      </c>
      <c r="H137" s="29">
        <v>928</v>
      </c>
      <c r="I137" s="29">
        <v>0</v>
      </c>
      <c r="J137" s="29">
        <v>6325509</v>
      </c>
      <c r="K137" s="29">
        <f>36284/3</f>
        <v>12094.666666666666</v>
      </c>
      <c r="L137" s="23"/>
    </row>
    <row r="138" spans="1:12" x14ac:dyDescent="0.2">
      <c r="A138" s="29" t="s">
        <v>16</v>
      </c>
      <c r="B138" s="29">
        <v>3260</v>
      </c>
      <c r="C138" s="29">
        <v>6075</v>
      </c>
      <c r="D138" s="29">
        <v>104804099</v>
      </c>
      <c r="E138" s="29">
        <f>17314/3</f>
        <v>5771.333333333333</v>
      </c>
      <c r="F138" s="29"/>
      <c r="G138" s="29" t="s">
        <v>16</v>
      </c>
      <c r="H138" s="29">
        <v>3532</v>
      </c>
      <c r="I138" s="29">
        <v>5813</v>
      </c>
      <c r="J138" s="29">
        <v>65993411</v>
      </c>
      <c r="K138" s="29">
        <f>11555/3</f>
        <v>3851.6666666666665</v>
      </c>
      <c r="L138" s="23"/>
    </row>
    <row r="139" spans="1:12" x14ac:dyDescent="0.2">
      <c r="A139" s="29" t="s">
        <v>17</v>
      </c>
      <c r="B139" s="29">
        <v>1004</v>
      </c>
      <c r="C139" s="29">
        <v>6664</v>
      </c>
      <c r="D139" s="29">
        <v>92234552</v>
      </c>
      <c r="E139" s="29">
        <f>13992/3</f>
        <v>4664</v>
      </c>
      <c r="F139" s="29"/>
      <c r="G139" s="29" t="s">
        <v>17</v>
      </c>
      <c r="H139" s="29">
        <v>548</v>
      </c>
      <c r="I139" s="29">
        <v>3534</v>
      </c>
      <c r="J139" s="29">
        <v>47167004</v>
      </c>
      <c r="K139" s="29">
        <f>13594/3</f>
        <v>4531.333333333333</v>
      </c>
      <c r="L139" s="23"/>
    </row>
    <row r="140" spans="1:12" x14ac:dyDescent="0.2">
      <c r="A140" s="30" t="s">
        <v>56</v>
      </c>
      <c r="B140" s="29">
        <v>514</v>
      </c>
      <c r="C140" s="29">
        <v>6930</v>
      </c>
      <c r="D140" s="29">
        <v>114128646</v>
      </c>
      <c r="E140" s="29">
        <f>16666/3</f>
        <v>5555.333333333333</v>
      </c>
      <c r="F140" s="29"/>
      <c r="G140" s="30" t="s">
        <v>56</v>
      </c>
      <c r="H140" s="29">
        <v>269</v>
      </c>
      <c r="I140" s="29">
        <v>3609</v>
      </c>
      <c r="J140" s="29">
        <v>41758406</v>
      </c>
      <c r="K140" s="29">
        <f>11708/3</f>
        <v>3902.6666666666665</v>
      </c>
      <c r="L140" s="23"/>
    </row>
    <row r="141" spans="1:12" x14ac:dyDescent="0.2">
      <c r="A141" s="29" t="s">
        <v>18</v>
      </c>
      <c r="B141" s="29">
        <v>290</v>
      </c>
      <c r="C141" s="29">
        <v>8423</v>
      </c>
      <c r="D141" s="29">
        <v>193147388</v>
      </c>
      <c r="E141" s="29">
        <f>22873/3</f>
        <v>7624.333333333333</v>
      </c>
      <c r="F141" s="29"/>
      <c r="G141" s="29" t="s">
        <v>18</v>
      </c>
      <c r="H141" s="29">
        <v>104</v>
      </c>
      <c r="I141" s="29">
        <v>3034</v>
      </c>
      <c r="J141" s="29">
        <v>41515558</v>
      </c>
      <c r="K141" s="29">
        <f>13679/3</f>
        <v>4559.666666666667</v>
      </c>
      <c r="L141" s="23"/>
    </row>
    <row r="142" spans="1:12" x14ac:dyDescent="0.2">
      <c r="A142" s="29" t="s">
        <v>19</v>
      </c>
      <c r="B142" s="29">
        <v>87</v>
      </c>
      <c r="C142" s="29">
        <v>5920</v>
      </c>
      <c r="D142" s="29">
        <v>162483314</v>
      </c>
      <c r="E142" s="29">
        <f>27490/3</f>
        <v>9163.3333333333339</v>
      </c>
      <c r="F142" s="29"/>
      <c r="G142" s="29" t="s">
        <v>19</v>
      </c>
      <c r="H142" s="29">
        <v>31</v>
      </c>
      <c r="I142" s="29">
        <v>2160</v>
      </c>
      <c r="J142" s="29">
        <v>28441811</v>
      </c>
      <c r="K142" s="29">
        <f>12995/3</f>
        <v>4331.666666666667</v>
      </c>
      <c r="L142" s="23"/>
    </row>
    <row r="143" spans="1:12" x14ac:dyDescent="0.2">
      <c r="A143" s="29" t="s">
        <v>20</v>
      </c>
      <c r="B143" s="29">
        <v>56</v>
      </c>
      <c r="C143" s="29">
        <v>8279</v>
      </c>
      <c r="D143" s="29">
        <v>181258706</v>
      </c>
      <c r="E143" s="29">
        <f>21926/3</f>
        <v>7308.666666666667</v>
      </c>
      <c r="F143" s="29"/>
      <c r="G143" s="29" t="s">
        <v>38</v>
      </c>
      <c r="H143" s="29">
        <v>13</v>
      </c>
      <c r="I143" s="29">
        <v>2186</v>
      </c>
      <c r="J143" s="29">
        <v>30023313</v>
      </c>
      <c r="K143" s="31">
        <v>4752</v>
      </c>
      <c r="L143" s="23"/>
    </row>
    <row r="144" spans="1:12" x14ac:dyDescent="0.2">
      <c r="A144" s="29" t="s">
        <v>21</v>
      </c>
      <c r="B144" s="29">
        <v>25</v>
      </c>
      <c r="C144" s="29">
        <v>8564</v>
      </c>
      <c r="D144" s="29">
        <v>177478564</v>
      </c>
      <c r="E144" s="29">
        <f>21390/3</f>
        <v>7130</v>
      </c>
      <c r="F144" s="29"/>
      <c r="G144" s="29"/>
      <c r="H144" s="29"/>
      <c r="I144" s="29"/>
      <c r="J144" s="29"/>
      <c r="K144" s="29"/>
      <c r="L144" s="23"/>
    </row>
    <row r="145" spans="1:12" x14ac:dyDescent="0.2">
      <c r="A145" s="29" t="s">
        <v>23</v>
      </c>
      <c r="B145" s="29">
        <v>7</v>
      </c>
      <c r="C145" s="29">
        <v>5386</v>
      </c>
      <c r="D145" s="29">
        <v>140611392</v>
      </c>
      <c r="E145" s="29">
        <f>25758/3</f>
        <v>8586</v>
      </c>
      <c r="F145" s="29"/>
      <c r="G145" s="29"/>
      <c r="H145" s="29"/>
      <c r="I145" s="29"/>
      <c r="J145" s="29"/>
      <c r="K145" s="29"/>
      <c r="L145" s="23"/>
    </row>
    <row r="146" spans="1:12" x14ac:dyDescent="0.2">
      <c r="A146" s="29" t="s">
        <v>24</v>
      </c>
      <c r="B146" s="29">
        <v>6</v>
      </c>
      <c r="C146" s="29">
        <v>10065</v>
      </c>
      <c r="D146" s="29">
        <v>190890990</v>
      </c>
      <c r="E146" s="29">
        <f>18839/3</f>
        <v>6279.666666666667</v>
      </c>
      <c r="F146" s="29"/>
      <c r="G146" s="29"/>
      <c r="H146" s="29"/>
      <c r="I146" s="29"/>
      <c r="J146" s="29"/>
      <c r="K146" s="29"/>
      <c r="L146" s="23"/>
    </row>
    <row r="147" spans="1:12" x14ac:dyDescent="0.2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2" x14ac:dyDescent="0.2">
      <c r="A148" s="38" t="s">
        <v>63</v>
      </c>
      <c r="B148" s="39"/>
      <c r="C148" s="39"/>
      <c r="D148" s="39"/>
      <c r="E148" s="39"/>
      <c r="F148" s="39"/>
      <c r="G148" s="39"/>
      <c r="H148" s="39"/>
      <c r="I148" s="39"/>
    </row>
    <row r="153" spans="1:12" x14ac:dyDescent="0.2">
      <c r="D153" s="38"/>
      <c r="E153" s="38"/>
      <c r="F153" s="38"/>
      <c r="G153" s="38"/>
      <c r="H153" s="38"/>
    </row>
    <row r="154" spans="1:12" x14ac:dyDescent="0.2">
      <c r="A154" s="41" t="s">
        <v>67</v>
      </c>
      <c r="B154" s="44"/>
      <c r="C154" s="44"/>
      <c r="D154" s="44"/>
      <c r="E154" s="44"/>
      <c r="F154" s="44"/>
      <c r="G154" s="44"/>
      <c r="H154" s="44"/>
      <c r="I154" s="44"/>
      <c r="J154" s="44"/>
      <c r="K154" s="44"/>
    </row>
    <row r="155" spans="1:12" x14ac:dyDescent="0.2">
      <c r="A155" s="41" t="s">
        <v>64</v>
      </c>
      <c r="B155" s="43"/>
      <c r="C155" s="43"/>
      <c r="D155" s="43"/>
      <c r="E155" s="43"/>
      <c r="F155" s="43"/>
      <c r="G155" s="43"/>
      <c r="H155" s="43"/>
      <c r="I155" s="43"/>
      <c r="J155" s="43"/>
      <c r="K155" s="43"/>
    </row>
    <row r="156" spans="1:12" x14ac:dyDescent="0.2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</row>
    <row r="157" spans="1:12" x14ac:dyDescent="0.2">
      <c r="A157" s="40" t="s">
        <v>39</v>
      </c>
      <c r="B157" s="40"/>
      <c r="C157" s="40"/>
      <c r="D157" s="40"/>
      <c r="E157" s="40"/>
      <c r="F157" s="12"/>
      <c r="G157" s="40" t="s">
        <v>40</v>
      </c>
      <c r="H157" s="40"/>
      <c r="I157" s="40"/>
      <c r="J157" s="40"/>
      <c r="K157" s="40"/>
    </row>
    <row r="158" spans="1:12" x14ac:dyDescent="0.2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</row>
    <row r="159" spans="1:12" x14ac:dyDescent="0.2">
      <c r="A159" s="14"/>
      <c r="B159" s="14"/>
      <c r="C159" s="14"/>
      <c r="D159" s="14" t="s">
        <v>2</v>
      </c>
      <c r="E159" s="14" t="s">
        <v>3</v>
      </c>
      <c r="F159" s="12"/>
      <c r="G159" s="14"/>
      <c r="H159" s="14"/>
      <c r="I159" s="14"/>
      <c r="J159" s="14" t="s">
        <v>2</v>
      </c>
      <c r="K159" s="14" t="s">
        <v>3</v>
      </c>
    </row>
    <row r="160" spans="1:12" x14ac:dyDescent="0.2">
      <c r="A160" s="15" t="s">
        <v>4</v>
      </c>
      <c r="B160" s="14" t="s">
        <v>5</v>
      </c>
      <c r="C160" s="14" t="s">
        <v>6</v>
      </c>
      <c r="D160" s="14" t="s">
        <v>7</v>
      </c>
      <c r="E160" s="14" t="s">
        <v>8</v>
      </c>
      <c r="F160" s="12"/>
      <c r="G160" s="15" t="s">
        <v>4</v>
      </c>
      <c r="H160" s="14" t="s">
        <v>5</v>
      </c>
      <c r="I160" s="14" t="s">
        <v>6</v>
      </c>
      <c r="J160" s="14" t="s">
        <v>7</v>
      </c>
      <c r="K160" s="14" t="s">
        <v>8</v>
      </c>
    </row>
    <row r="161" spans="1:12" x14ac:dyDescent="0.2">
      <c r="A161" s="15" t="s">
        <v>9</v>
      </c>
      <c r="B161" s="14" t="s">
        <v>10</v>
      </c>
      <c r="C161" s="14" t="s">
        <v>11</v>
      </c>
      <c r="D161" s="14" t="s">
        <v>12</v>
      </c>
      <c r="E161" s="14" t="s">
        <v>13</v>
      </c>
      <c r="F161" s="12"/>
      <c r="G161" s="15" t="s">
        <v>9</v>
      </c>
      <c r="H161" s="14" t="s">
        <v>10</v>
      </c>
      <c r="I161" s="14" t="s">
        <v>11</v>
      </c>
      <c r="J161" s="14" t="s">
        <v>12</v>
      </c>
      <c r="K161" s="14" t="s">
        <v>13</v>
      </c>
    </row>
    <row r="164" spans="1:12" s="13" customFormat="1" x14ac:dyDescent="0.2">
      <c r="A164" s="13" t="s">
        <v>27</v>
      </c>
      <c r="B164" s="13">
        <f>SUM(B166:B175)</f>
        <v>15337</v>
      </c>
      <c r="C164" s="13">
        <f>SUM(C166:C175)</f>
        <v>101563</v>
      </c>
      <c r="D164" s="13">
        <f>SUM(D166:D175)</f>
        <v>1903932114</v>
      </c>
      <c r="E164" s="16">
        <f>18910/3</f>
        <v>6303.333333333333</v>
      </c>
      <c r="G164" s="21" t="s">
        <v>27</v>
      </c>
      <c r="H164" s="21">
        <f>SUM(H166:H175)</f>
        <v>857</v>
      </c>
      <c r="I164" s="21">
        <f>SUM(I166:I175)</f>
        <v>20288</v>
      </c>
      <c r="J164" s="22">
        <f>SUM(J166:J175)</f>
        <v>517614540</v>
      </c>
      <c r="K164" s="22">
        <f>25513/3</f>
        <v>8504.3333333333339</v>
      </c>
    </row>
    <row r="165" spans="1:12" x14ac:dyDescent="0.2">
      <c r="A165" s="25" t="s">
        <v>28</v>
      </c>
      <c r="B165" s="25"/>
      <c r="C165" s="25"/>
      <c r="D165" s="25"/>
      <c r="E165" s="25"/>
      <c r="F165" s="25"/>
      <c r="G165" s="29" t="s">
        <v>28</v>
      </c>
      <c r="H165" s="29"/>
      <c r="I165" s="29"/>
      <c r="J165" s="29"/>
      <c r="K165" s="29"/>
    </row>
    <row r="166" spans="1:12" x14ac:dyDescent="0.2">
      <c r="A166" s="29" t="s">
        <v>15</v>
      </c>
      <c r="B166" s="29">
        <v>2785</v>
      </c>
      <c r="C166" s="29">
        <v>0</v>
      </c>
      <c r="D166" s="29">
        <v>12748007</v>
      </c>
      <c r="E166" s="29">
        <f>17763/3</f>
        <v>5921</v>
      </c>
      <c r="F166" s="29"/>
      <c r="G166" s="29" t="s">
        <v>15</v>
      </c>
      <c r="H166" s="29">
        <v>127</v>
      </c>
      <c r="I166" s="29">
        <v>0</v>
      </c>
      <c r="J166" s="29">
        <v>795461</v>
      </c>
      <c r="K166" s="29">
        <f>18357/3</f>
        <v>6119</v>
      </c>
      <c r="L166" s="23"/>
    </row>
    <row r="167" spans="1:12" x14ac:dyDescent="0.2">
      <c r="A167" s="29" t="s">
        <v>16</v>
      </c>
      <c r="B167" s="29">
        <v>9313</v>
      </c>
      <c r="C167" s="29">
        <v>14603</v>
      </c>
      <c r="D167" s="29">
        <v>239397350</v>
      </c>
      <c r="E167" s="29">
        <f>16756/3</f>
        <v>5585.333333333333</v>
      </c>
      <c r="F167" s="29"/>
      <c r="G167" s="29" t="s">
        <v>16</v>
      </c>
      <c r="H167" s="29">
        <v>437</v>
      </c>
      <c r="I167" s="29">
        <v>718</v>
      </c>
      <c r="J167" s="29">
        <v>18703948</v>
      </c>
      <c r="K167" s="29">
        <f>26835/3</f>
        <v>8945</v>
      </c>
      <c r="L167" s="23"/>
    </row>
    <row r="168" spans="1:12" x14ac:dyDescent="0.2">
      <c r="A168" s="29" t="s">
        <v>17</v>
      </c>
      <c r="B168" s="29">
        <v>1437</v>
      </c>
      <c r="C168" s="29">
        <v>9313</v>
      </c>
      <c r="D168" s="29">
        <v>136583802</v>
      </c>
      <c r="E168" s="29">
        <f>15056/3</f>
        <v>5018.666666666667</v>
      </c>
      <c r="F168" s="29"/>
      <c r="G168" s="29" t="s">
        <v>17</v>
      </c>
      <c r="H168" s="29">
        <v>81</v>
      </c>
      <c r="I168" s="29">
        <v>548</v>
      </c>
      <c r="J168" s="29">
        <v>10504159</v>
      </c>
      <c r="K168" s="29">
        <f>19671/3</f>
        <v>6557</v>
      </c>
      <c r="L168" s="23"/>
    </row>
    <row r="169" spans="1:12" x14ac:dyDescent="0.2">
      <c r="A169" s="30" t="s">
        <v>56</v>
      </c>
      <c r="B169" s="29">
        <v>917</v>
      </c>
      <c r="C169" s="29">
        <v>12212</v>
      </c>
      <c r="D169" s="29">
        <v>200647507</v>
      </c>
      <c r="E169" s="29">
        <f>16724/3</f>
        <v>5574.666666666667</v>
      </c>
      <c r="F169" s="29"/>
      <c r="G169" s="30" t="s">
        <v>56</v>
      </c>
      <c r="H169" s="29">
        <v>69</v>
      </c>
      <c r="I169" s="29">
        <v>905</v>
      </c>
      <c r="J169" s="29">
        <v>19179771</v>
      </c>
      <c r="K169" s="29">
        <f>21342/3</f>
        <v>7114</v>
      </c>
      <c r="L169" s="23"/>
    </row>
    <row r="170" spans="1:12" x14ac:dyDescent="0.2">
      <c r="A170" s="29" t="s">
        <v>18</v>
      </c>
      <c r="B170" s="29">
        <v>579</v>
      </c>
      <c r="C170" s="29">
        <v>17520</v>
      </c>
      <c r="D170" s="29">
        <v>296009149</v>
      </c>
      <c r="E170" s="29">
        <f>17047/3</f>
        <v>5682.333333333333</v>
      </c>
      <c r="F170" s="29"/>
      <c r="G170" s="29" t="s">
        <v>18</v>
      </c>
      <c r="H170" s="29">
        <v>70</v>
      </c>
      <c r="I170" s="29">
        <v>2336</v>
      </c>
      <c r="J170" s="29">
        <v>79746054</v>
      </c>
      <c r="K170" s="29">
        <f>34250/3</f>
        <v>11416.666666666666</v>
      </c>
      <c r="L170" s="23"/>
    </row>
    <row r="171" spans="1:12" x14ac:dyDescent="0.2">
      <c r="A171" s="29" t="s">
        <v>19</v>
      </c>
      <c r="B171" s="29">
        <v>167</v>
      </c>
      <c r="C171" s="29">
        <v>11387</v>
      </c>
      <c r="D171" s="29">
        <v>316584587</v>
      </c>
      <c r="E171" s="29">
        <f>28459/3</f>
        <v>9486.3333333333339</v>
      </c>
      <c r="F171" s="29"/>
      <c r="G171" s="29" t="s">
        <v>19</v>
      </c>
      <c r="H171" s="29">
        <v>32</v>
      </c>
      <c r="I171" s="29">
        <v>2220</v>
      </c>
      <c r="J171" s="29">
        <v>51272580</v>
      </c>
      <c r="K171" s="29">
        <f>23120/3</f>
        <v>7706.666666666667</v>
      </c>
      <c r="L171" s="23"/>
    </row>
    <row r="172" spans="1:12" x14ac:dyDescent="0.2">
      <c r="A172" s="29" t="s">
        <v>20</v>
      </c>
      <c r="B172" s="29">
        <v>95</v>
      </c>
      <c r="C172" s="29">
        <v>14092</v>
      </c>
      <c r="D172" s="29">
        <v>294828825</v>
      </c>
      <c r="E172" s="29">
        <f>21395/3</f>
        <v>7131.666666666667</v>
      </c>
      <c r="F172" s="29"/>
      <c r="G172" s="29" t="s">
        <v>20</v>
      </c>
      <c r="H172" s="29">
        <v>28</v>
      </c>
      <c r="I172" s="29">
        <v>4535</v>
      </c>
      <c r="J172" s="29">
        <v>123946831</v>
      </c>
      <c r="K172" s="29">
        <f>27387/3</f>
        <v>9129</v>
      </c>
      <c r="L172" s="23"/>
    </row>
    <row r="173" spans="1:12" x14ac:dyDescent="0.2">
      <c r="A173" s="29" t="s">
        <v>21</v>
      </c>
      <c r="B173" s="31">
        <v>24</v>
      </c>
      <c r="C173" s="29">
        <v>8123</v>
      </c>
      <c r="D173" s="29">
        <v>172153070</v>
      </c>
      <c r="E173" s="29">
        <f>21196/3</f>
        <v>7065.333333333333</v>
      </c>
      <c r="F173" s="29"/>
      <c r="G173" s="29" t="s">
        <v>21</v>
      </c>
      <c r="H173" s="29">
        <v>6</v>
      </c>
      <c r="I173" s="29">
        <v>2122</v>
      </c>
      <c r="J173" s="29">
        <v>59632408</v>
      </c>
      <c r="K173" s="29">
        <f>28001/3</f>
        <v>9333.6666666666661</v>
      </c>
      <c r="L173" s="23"/>
    </row>
    <row r="174" spans="1:12" x14ac:dyDescent="0.2">
      <c r="A174" s="29" t="s">
        <v>23</v>
      </c>
      <c r="B174" s="29">
        <v>17</v>
      </c>
      <c r="C174" s="29">
        <v>10599</v>
      </c>
      <c r="D174" s="29">
        <v>189685280</v>
      </c>
      <c r="E174" s="29">
        <f>18014/3</f>
        <v>6004.666666666667</v>
      </c>
      <c r="F174" s="29"/>
      <c r="G174" s="29" t="s">
        <v>23</v>
      </c>
      <c r="H174" s="29">
        <v>4</v>
      </c>
      <c r="I174" s="29">
        <v>2598</v>
      </c>
      <c r="J174" s="29">
        <v>71111347</v>
      </c>
      <c r="K174" s="31">
        <f>27407/3</f>
        <v>9135.6666666666661</v>
      </c>
      <c r="L174" s="23"/>
    </row>
    <row r="175" spans="1:12" x14ac:dyDescent="0.2">
      <c r="A175" s="29" t="s">
        <v>24</v>
      </c>
      <c r="B175" s="25">
        <v>3</v>
      </c>
      <c r="C175" s="25">
        <v>3714</v>
      </c>
      <c r="D175" s="25">
        <v>45294537</v>
      </c>
      <c r="E175" s="29">
        <f>12284/3</f>
        <v>4094.6666666666665</v>
      </c>
      <c r="F175" s="25"/>
      <c r="G175" s="29" t="s">
        <v>24</v>
      </c>
      <c r="H175" s="25">
        <v>3</v>
      </c>
      <c r="I175" s="25">
        <v>4306</v>
      </c>
      <c r="J175" s="25">
        <v>82721981</v>
      </c>
      <c r="K175" s="31">
        <f>19153/3</f>
        <v>6384.333333333333</v>
      </c>
    </row>
    <row r="178" spans="1:12" x14ac:dyDescent="0.2">
      <c r="A178" s="47" t="s">
        <v>41</v>
      </c>
      <c r="B178" s="47"/>
      <c r="C178" s="47"/>
      <c r="D178" s="47"/>
      <c r="E178" s="47"/>
      <c r="F178" s="12"/>
      <c r="G178" s="40" t="s">
        <v>59</v>
      </c>
      <c r="H178" s="40"/>
      <c r="I178" s="40"/>
      <c r="J178" s="40"/>
      <c r="K178" s="40"/>
    </row>
    <row r="179" spans="1:12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</row>
    <row r="180" spans="1:12" x14ac:dyDescent="0.2">
      <c r="A180" s="14"/>
      <c r="B180" s="14"/>
      <c r="C180" s="14"/>
      <c r="D180" s="14" t="s">
        <v>2</v>
      </c>
      <c r="E180" s="14" t="s">
        <v>3</v>
      </c>
      <c r="F180" s="12"/>
      <c r="G180" s="14"/>
      <c r="H180" s="14"/>
      <c r="I180" s="14"/>
      <c r="J180" s="14" t="s">
        <v>2</v>
      </c>
      <c r="K180" s="14" t="s">
        <v>3</v>
      </c>
    </row>
    <row r="181" spans="1:12" x14ac:dyDescent="0.2">
      <c r="A181" s="15" t="s">
        <v>4</v>
      </c>
      <c r="B181" s="14" t="s">
        <v>5</v>
      </c>
      <c r="C181" s="14" t="s">
        <v>6</v>
      </c>
      <c r="D181" s="14" t="s">
        <v>7</v>
      </c>
      <c r="E181" s="14" t="s">
        <v>8</v>
      </c>
      <c r="F181" s="12"/>
      <c r="G181" s="15" t="s">
        <v>4</v>
      </c>
      <c r="H181" s="14" t="s">
        <v>5</v>
      </c>
      <c r="I181" s="14" t="s">
        <v>6</v>
      </c>
      <c r="J181" s="14" t="s">
        <v>7</v>
      </c>
      <c r="K181" s="14" t="s">
        <v>8</v>
      </c>
    </row>
    <row r="182" spans="1:12" x14ac:dyDescent="0.2">
      <c r="A182" s="15" t="s">
        <v>9</v>
      </c>
      <c r="B182" s="14" t="s">
        <v>10</v>
      </c>
      <c r="C182" s="14" t="s">
        <v>11</v>
      </c>
      <c r="D182" s="14" t="s">
        <v>12</v>
      </c>
      <c r="E182" s="14" t="s">
        <v>13</v>
      </c>
      <c r="F182" s="12"/>
      <c r="G182" s="15" t="s">
        <v>9</v>
      </c>
      <c r="H182" s="14" t="s">
        <v>10</v>
      </c>
      <c r="I182" s="14" t="s">
        <v>11</v>
      </c>
      <c r="J182" s="14" t="s">
        <v>12</v>
      </c>
      <c r="K182" s="14" t="s">
        <v>13</v>
      </c>
    </row>
    <row r="184" spans="1:12" x14ac:dyDescent="0.2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2" s="13" customFormat="1" x14ac:dyDescent="0.2">
      <c r="A185" s="26" t="s">
        <v>27</v>
      </c>
      <c r="B185" s="26">
        <f>SUM(B187:B196)</f>
        <v>5942</v>
      </c>
      <c r="C185" s="26">
        <f>SUM(C187:C196)</f>
        <v>90028</v>
      </c>
      <c r="D185" s="27">
        <f>SUM(D187:D196)</f>
        <v>805806629</v>
      </c>
      <c r="E185" s="27">
        <f>9067/3</f>
        <v>3022.3333333333335</v>
      </c>
      <c r="F185" s="26"/>
      <c r="G185" s="26" t="s">
        <v>27</v>
      </c>
      <c r="H185" s="26">
        <f>SUM(H187:H196)</f>
        <v>1601</v>
      </c>
      <c r="I185" s="26">
        <f>SUM(I187:I196)</f>
        <v>50730</v>
      </c>
      <c r="J185" s="27">
        <f>SUM(J187:J196)</f>
        <v>387701816</v>
      </c>
      <c r="K185" s="27">
        <f>7713/3</f>
        <v>2571</v>
      </c>
      <c r="L185" s="21"/>
    </row>
    <row r="186" spans="1:12" x14ac:dyDescent="0.2">
      <c r="A186" s="29" t="s">
        <v>28</v>
      </c>
      <c r="B186" s="29"/>
      <c r="C186" s="29"/>
      <c r="D186" s="29"/>
      <c r="E186" s="29"/>
      <c r="F186" s="29"/>
      <c r="G186" s="29" t="s">
        <v>28</v>
      </c>
      <c r="H186" s="29"/>
      <c r="I186" s="29"/>
      <c r="J186" s="29"/>
      <c r="K186" s="29"/>
      <c r="L186" s="23"/>
    </row>
    <row r="187" spans="1:12" x14ac:dyDescent="0.2">
      <c r="A187" s="29" t="s">
        <v>15</v>
      </c>
      <c r="B187" s="29">
        <v>1129</v>
      </c>
      <c r="C187" s="29">
        <v>0</v>
      </c>
      <c r="D187" s="29">
        <v>3191071</v>
      </c>
      <c r="E187" s="29">
        <f>10854/3</f>
        <v>3618</v>
      </c>
      <c r="F187" s="29"/>
      <c r="G187" s="29" t="s">
        <v>15</v>
      </c>
      <c r="H187" s="29">
        <v>228</v>
      </c>
      <c r="I187" s="29">
        <v>0</v>
      </c>
      <c r="J187" s="29">
        <v>851619</v>
      </c>
      <c r="K187" s="29">
        <f>6435/3</f>
        <v>2145</v>
      </c>
      <c r="L187" s="23"/>
    </row>
    <row r="188" spans="1:12" x14ac:dyDescent="0.2">
      <c r="A188" s="29" t="s">
        <v>16</v>
      </c>
      <c r="B188" s="29">
        <v>2836</v>
      </c>
      <c r="C188" s="29">
        <v>5237</v>
      </c>
      <c r="D188" s="29">
        <v>61109057</v>
      </c>
      <c r="E188" s="29">
        <f>11815/2</f>
        <v>5907.5</v>
      </c>
      <c r="F188" s="29"/>
      <c r="G188" s="29" t="s">
        <v>16</v>
      </c>
      <c r="H188" s="29">
        <v>648</v>
      </c>
      <c r="I188" s="29">
        <v>1124</v>
      </c>
      <c r="J188" s="29">
        <v>11010800</v>
      </c>
      <c r="K188" s="29">
        <f>9908/3</f>
        <v>3302.6666666666665</v>
      </c>
      <c r="L188" s="23"/>
    </row>
    <row r="189" spans="1:12" x14ac:dyDescent="0.2">
      <c r="A189" s="29" t="s">
        <v>17</v>
      </c>
      <c r="B189" s="29">
        <v>797</v>
      </c>
      <c r="C189" s="29">
        <v>5216</v>
      </c>
      <c r="D189" s="29">
        <v>47482276</v>
      </c>
      <c r="E189" s="29">
        <f>9502/3</f>
        <v>3167.3333333333335</v>
      </c>
      <c r="F189" s="29"/>
      <c r="G189" s="29" t="s">
        <v>17</v>
      </c>
      <c r="H189" s="29">
        <v>209</v>
      </c>
      <c r="I189" s="29">
        <v>1412</v>
      </c>
      <c r="J189" s="29">
        <v>8736459</v>
      </c>
      <c r="K189" s="29">
        <f>6248/3</f>
        <v>2082.6666666666665</v>
      </c>
      <c r="L189" s="23"/>
    </row>
    <row r="190" spans="1:12" x14ac:dyDescent="0.2">
      <c r="A190" s="30" t="s">
        <v>56</v>
      </c>
      <c r="B190" s="29">
        <v>515</v>
      </c>
      <c r="C190" s="29">
        <v>6882</v>
      </c>
      <c r="D190" s="29">
        <v>62672566</v>
      </c>
      <c r="E190" s="29">
        <f>9305/3</f>
        <v>3101.6666666666665</v>
      </c>
      <c r="F190" s="29"/>
      <c r="G190" s="30" t="s">
        <v>56</v>
      </c>
      <c r="H190" s="29">
        <v>186</v>
      </c>
      <c r="I190" s="29">
        <v>2562</v>
      </c>
      <c r="J190" s="29">
        <v>14035316</v>
      </c>
      <c r="K190" s="29">
        <f>5579/3</f>
        <v>1859.6666666666667</v>
      </c>
      <c r="L190" s="23"/>
    </row>
    <row r="191" spans="1:12" x14ac:dyDescent="0.2">
      <c r="A191" s="29" t="s">
        <v>18</v>
      </c>
      <c r="B191" s="29">
        <v>339</v>
      </c>
      <c r="C191" s="29">
        <v>10481</v>
      </c>
      <c r="D191" s="29">
        <v>104562916</v>
      </c>
      <c r="E191" s="29">
        <f>10237/3</f>
        <v>3412.3333333333335</v>
      </c>
      <c r="F191" s="29"/>
      <c r="G191" s="29" t="s">
        <v>18</v>
      </c>
      <c r="H191" s="29">
        <v>178</v>
      </c>
      <c r="I191" s="29">
        <v>5519</v>
      </c>
      <c r="J191" s="29">
        <v>34967609</v>
      </c>
      <c r="K191" s="29">
        <f>6437/3</f>
        <v>2145.6666666666665</v>
      </c>
      <c r="L191" s="23"/>
    </row>
    <row r="192" spans="1:12" x14ac:dyDescent="0.2">
      <c r="A192" s="29" t="s">
        <v>19</v>
      </c>
      <c r="B192" s="29">
        <v>156</v>
      </c>
      <c r="C192" s="29">
        <v>10915</v>
      </c>
      <c r="D192" s="29">
        <v>108292174</v>
      </c>
      <c r="E192" s="29">
        <f>10149/3</f>
        <v>3383</v>
      </c>
      <c r="F192" s="29"/>
      <c r="G192" s="29" t="s">
        <v>19</v>
      </c>
      <c r="H192" s="29">
        <v>95</v>
      </c>
      <c r="I192" s="29">
        <v>6527</v>
      </c>
      <c r="J192" s="29">
        <v>47896141</v>
      </c>
      <c r="K192" s="29">
        <f>7416/3</f>
        <v>2472</v>
      </c>
      <c r="L192" s="23"/>
    </row>
    <row r="193" spans="1:12" x14ac:dyDescent="0.2">
      <c r="A193" s="29" t="s">
        <v>20</v>
      </c>
      <c r="B193" s="29">
        <v>105</v>
      </c>
      <c r="C193" s="29">
        <v>15845</v>
      </c>
      <c r="D193" s="29">
        <v>113876587</v>
      </c>
      <c r="E193" s="29">
        <f>7335/3</f>
        <v>2445</v>
      </c>
      <c r="F193" s="29"/>
      <c r="G193" s="29" t="s">
        <v>20</v>
      </c>
      <c r="H193" s="29">
        <v>46</v>
      </c>
      <c r="I193" s="29">
        <v>6541</v>
      </c>
      <c r="J193" s="29">
        <v>66722694</v>
      </c>
      <c r="K193" s="29">
        <f>10235/3</f>
        <v>3411.6666666666665</v>
      </c>
      <c r="L193" s="23"/>
    </row>
    <row r="194" spans="1:12" x14ac:dyDescent="0.2">
      <c r="A194" s="29" t="s">
        <v>21</v>
      </c>
      <c r="B194" s="29">
        <v>38</v>
      </c>
      <c r="C194" s="29">
        <v>13130</v>
      </c>
      <c r="D194" s="29">
        <v>118337423</v>
      </c>
      <c r="E194" s="29">
        <f>9101/3</f>
        <v>3033.6666666666665</v>
      </c>
      <c r="F194" s="29"/>
      <c r="G194" s="29" t="s">
        <v>58</v>
      </c>
      <c r="H194" s="29">
        <v>3</v>
      </c>
      <c r="I194" s="29">
        <v>916</v>
      </c>
      <c r="J194" s="29">
        <v>6125403</v>
      </c>
      <c r="K194" s="29">
        <f>6758/3</f>
        <v>2252.6666666666665</v>
      </c>
      <c r="L194" s="23"/>
    </row>
    <row r="195" spans="1:12" x14ac:dyDescent="0.2">
      <c r="A195" s="29" t="s">
        <v>23</v>
      </c>
      <c r="B195" s="29">
        <v>23</v>
      </c>
      <c r="C195" s="29">
        <v>15712</v>
      </c>
      <c r="D195" s="29">
        <v>143067464</v>
      </c>
      <c r="E195" s="29">
        <f>9158/3</f>
        <v>3052.6666666666665</v>
      </c>
      <c r="F195" s="29"/>
      <c r="G195" s="29" t="s">
        <v>23</v>
      </c>
      <c r="H195" s="29">
        <v>5</v>
      </c>
      <c r="I195" s="29">
        <v>2918</v>
      </c>
      <c r="J195" s="29">
        <v>41817350</v>
      </c>
      <c r="K195" s="31">
        <f>14859/3</f>
        <v>4953</v>
      </c>
      <c r="L195" s="23"/>
    </row>
    <row r="196" spans="1:12" x14ac:dyDescent="0.2">
      <c r="A196" s="29" t="s">
        <v>24</v>
      </c>
      <c r="B196" s="29">
        <v>4</v>
      </c>
      <c r="C196" s="29">
        <v>6610</v>
      </c>
      <c r="D196" s="29">
        <v>43215095</v>
      </c>
      <c r="E196" s="29">
        <f>6514/3</f>
        <v>2171.3333333333335</v>
      </c>
      <c r="F196" s="29"/>
      <c r="G196" s="29" t="s">
        <v>24</v>
      </c>
      <c r="H196" s="29">
        <v>3</v>
      </c>
      <c r="I196" s="29">
        <v>23211</v>
      </c>
      <c r="J196" s="29">
        <v>155538425</v>
      </c>
      <c r="K196" s="31">
        <f>6770/3</f>
        <v>2256.6666666666665</v>
      </c>
      <c r="L196" s="23"/>
    </row>
    <row r="197" spans="1:12" x14ac:dyDescent="0.2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2" x14ac:dyDescent="0.2">
      <c r="A198" s="38" t="s">
        <v>63</v>
      </c>
      <c r="B198" s="39"/>
      <c r="C198" s="39"/>
      <c r="D198" s="39"/>
      <c r="E198" s="39"/>
      <c r="F198" s="39"/>
      <c r="G198" s="39"/>
      <c r="H198" s="39"/>
      <c r="I198" s="39"/>
    </row>
    <row r="202" spans="1:12" x14ac:dyDescent="0.2">
      <c r="D202" s="38"/>
      <c r="E202" s="39"/>
      <c r="F202" s="39"/>
      <c r="G202" s="39"/>
      <c r="H202" s="39"/>
    </row>
    <row r="203" spans="1:12" x14ac:dyDescent="0.2">
      <c r="A203" s="41" t="s">
        <v>67</v>
      </c>
      <c r="B203" s="44"/>
      <c r="C203" s="44"/>
      <c r="D203" s="44"/>
      <c r="E203" s="44"/>
      <c r="F203" s="44"/>
      <c r="G203" s="44"/>
      <c r="H203" s="44"/>
      <c r="I203" s="44"/>
      <c r="J203" s="44"/>
      <c r="K203" s="44"/>
    </row>
    <row r="204" spans="1:12" x14ac:dyDescent="0.2">
      <c r="A204" s="41" t="s">
        <v>64</v>
      </c>
      <c r="B204" s="43"/>
      <c r="C204" s="43"/>
      <c r="D204" s="43"/>
      <c r="E204" s="43"/>
      <c r="F204" s="43"/>
      <c r="G204" s="43"/>
      <c r="H204" s="43"/>
      <c r="I204" s="43"/>
      <c r="J204" s="43"/>
      <c r="K204" s="43"/>
    </row>
    <row r="205" spans="1:12" x14ac:dyDescent="0.2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</row>
    <row r="206" spans="1:12" x14ac:dyDescent="0.2">
      <c r="A206" s="40" t="s">
        <v>42</v>
      </c>
      <c r="B206" s="40"/>
      <c r="C206" s="40"/>
      <c r="D206" s="40"/>
      <c r="E206" s="40"/>
      <c r="F206" s="12"/>
      <c r="G206" s="40" t="s">
        <v>43</v>
      </c>
      <c r="H206" s="40"/>
      <c r="I206" s="40"/>
      <c r="J206" s="40"/>
      <c r="K206" s="40"/>
    </row>
    <row r="207" spans="1:12" x14ac:dyDescent="0.2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</row>
    <row r="208" spans="1:12" x14ac:dyDescent="0.2">
      <c r="A208" s="14"/>
      <c r="B208" s="14"/>
      <c r="C208" s="14"/>
      <c r="D208" s="14" t="s">
        <v>2</v>
      </c>
      <c r="E208" s="14" t="s">
        <v>3</v>
      </c>
      <c r="F208" s="12"/>
      <c r="G208" s="14"/>
      <c r="H208" s="14"/>
      <c r="I208" s="14"/>
      <c r="J208" s="14" t="s">
        <v>2</v>
      </c>
      <c r="K208" s="14" t="s">
        <v>3</v>
      </c>
    </row>
    <row r="209" spans="1:24" x14ac:dyDescent="0.2">
      <c r="A209" s="15" t="s">
        <v>4</v>
      </c>
      <c r="B209" s="14" t="s">
        <v>5</v>
      </c>
      <c r="C209" s="14" t="s">
        <v>6</v>
      </c>
      <c r="D209" s="14" t="s">
        <v>7</v>
      </c>
      <c r="E209" s="14" t="s">
        <v>8</v>
      </c>
      <c r="F209" s="12"/>
      <c r="G209" s="15" t="s">
        <v>4</v>
      </c>
      <c r="H209" s="14" t="s">
        <v>5</v>
      </c>
      <c r="I209" s="14" t="s">
        <v>6</v>
      </c>
      <c r="J209" s="14" t="s">
        <v>7</v>
      </c>
      <c r="K209" s="14" t="s">
        <v>8</v>
      </c>
    </row>
    <row r="210" spans="1:24" x14ac:dyDescent="0.2">
      <c r="A210" s="15" t="s">
        <v>9</v>
      </c>
      <c r="B210" s="14" t="s">
        <v>10</v>
      </c>
      <c r="C210" s="14" t="s">
        <v>11</v>
      </c>
      <c r="D210" s="14" t="s">
        <v>12</v>
      </c>
      <c r="E210" s="14" t="s">
        <v>13</v>
      </c>
      <c r="F210" s="12"/>
      <c r="G210" s="15" t="s">
        <v>9</v>
      </c>
      <c r="H210" s="14" t="s">
        <v>10</v>
      </c>
      <c r="I210" s="14" t="s">
        <v>11</v>
      </c>
      <c r="J210" s="14" t="s">
        <v>12</v>
      </c>
      <c r="K210" s="14" t="s">
        <v>13</v>
      </c>
    </row>
    <row r="212" spans="1:24" x14ac:dyDescent="0.2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O212" s="5" t="s">
        <v>28</v>
      </c>
    </row>
    <row r="213" spans="1:24" s="13" customFormat="1" x14ac:dyDescent="0.2">
      <c r="A213" s="26" t="s">
        <v>27</v>
      </c>
      <c r="B213" s="26">
        <f>SUM(B215:B224)</f>
        <v>10319</v>
      </c>
      <c r="C213" s="26">
        <f>SUM(C215:C224)</f>
        <v>155391</v>
      </c>
      <c r="D213" s="27">
        <f>SUM(D215:D224)</f>
        <v>1703217754</v>
      </c>
      <c r="E213" s="27">
        <f>10990/3</f>
        <v>3663.3333333333335</v>
      </c>
      <c r="F213" s="26"/>
      <c r="G213" s="26" t="s">
        <v>27</v>
      </c>
      <c r="H213" s="26">
        <f>SUM(H215:H223)</f>
        <v>1300</v>
      </c>
      <c r="I213" s="26">
        <f>SUM(I215:I223)</f>
        <v>25422</v>
      </c>
      <c r="J213" s="27">
        <f>SUM(J215:J223)</f>
        <v>182244760</v>
      </c>
      <c r="K213" s="27">
        <f>7271/3</f>
        <v>2423.6666666666665</v>
      </c>
      <c r="L213" s="21"/>
    </row>
    <row r="214" spans="1:24" x14ac:dyDescent="0.2">
      <c r="A214" s="29" t="s">
        <v>28</v>
      </c>
      <c r="B214" s="29"/>
      <c r="C214" s="29"/>
      <c r="D214" s="29"/>
      <c r="E214" s="29"/>
      <c r="F214" s="29"/>
      <c r="G214" s="29" t="s">
        <v>28</v>
      </c>
      <c r="H214" s="29"/>
      <c r="I214" s="29"/>
      <c r="J214" s="29"/>
      <c r="K214" s="29"/>
      <c r="L214" s="23"/>
    </row>
    <row r="215" spans="1:24" x14ac:dyDescent="0.2">
      <c r="A215" s="29" t="s">
        <v>15</v>
      </c>
      <c r="B215" s="29">
        <v>970</v>
      </c>
      <c r="C215" s="29">
        <v>0</v>
      </c>
      <c r="D215" s="29">
        <v>5666309</v>
      </c>
      <c r="E215" s="29">
        <f>14049/3</f>
        <v>4683</v>
      </c>
      <c r="F215" s="29"/>
      <c r="G215" s="29" t="s">
        <v>15</v>
      </c>
      <c r="H215" s="29">
        <v>231</v>
      </c>
      <c r="I215" s="29">
        <v>0</v>
      </c>
      <c r="J215" s="29">
        <v>622593</v>
      </c>
      <c r="K215" s="29">
        <f>4646/3</f>
        <v>1548.6666666666667</v>
      </c>
      <c r="L215" s="23"/>
    </row>
    <row r="216" spans="1:24" x14ac:dyDescent="0.2">
      <c r="A216" s="29" t="s">
        <v>16</v>
      </c>
      <c r="B216" s="29">
        <v>5072</v>
      </c>
      <c r="C216" s="29">
        <v>8879</v>
      </c>
      <c r="D216" s="29">
        <v>94570938</v>
      </c>
      <c r="E216" s="29">
        <f>10728/3</f>
        <v>3576</v>
      </c>
      <c r="F216" s="29"/>
      <c r="G216" s="29" t="s">
        <v>16</v>
      </c>
      <c r="H216" s="29">
        <v>495</v>
      </c>
      <c r="I216" s="29">
        <v>909</v>
      </c>
      <c r="J216" s="29">
        <v>10967189</v>
      </c>
      <c r="K216" s="29">
        <f>12482/3</f>
        <v>4160.666666666667</v>
      </c>
      <c r="L216" s="23"/>
    </row>
    <row r="217" spans="1:24" x14ac:dyDescent="0.2">
      <c r="A217" s="29" t="s">
        <v>17</v>
      </c>
      <c r="B217" s="29">
        <v>1601</v>
      </c>
      <c r="C217" s="29">
        <v>10799</v>
      </c>
      <c r="D217" s="29">
        <v>88954416</v>
      </c>
      <c r="E217" s="29">
        <f>8316/3</f>
        <v>2772</v>
      </c>
      <c r="F217" s="29"/>
      <c r="G217" s="29" t="s">
        <v>17</v>
      </c>
      <c r="H217" s="29">
        <v>182</v>
      </c>
      <c r="I217" s="29">
        <v>1217</v>
      </c>
      <c r="J217" s="29">
        <v>6395271</v>
      </c>
      <c r="K217" s="29">
        <f>5511/3</f>
        <v>1837</v>
      </c>
      <c r="L217" s="23"/>
    </row>
    <row r="218" spans="1:24" x14ac:dyDescent="0.2">
      <c r="A218" s="30" t="s">
        <v>56</v>
      </c>
      <c r="B218" s="29">
        <v>1322</v>
      </c>
      <c r="C218" s="29">
        <v>17785</v>
      </c>
      <c r="D218" s="29">
        <v>143718251</v>
      </c>
      <c r="E218" s="29">
        <f>8137/3</f>
        <v>2712.3333333333335</v>
      </c>
      <c r="F218" s="29"/>
      <c r="G218" s="30" t="s">
        <v>56</v>
      </c>
      <c r="H218" s="29">
        <v>174</v>
      </c>
      <c r="I218" s="29">
        <v>2331</v>
      </c>
      <c r="J218" s="29">
        <v>12471777</v>
      </c>
      <c r="K218" s="29">
        <f>5629/3</f>
        <v>1876.3333333333333</v>
      </c>
      <c r="L218" s="23"/>
    </row>
    <row r="219" spans="1:24" x14ac:dyDescent="0.2">
      <c r="A219" s="29" t="s">
        <v>18</v>
      </c>
      <c r="B219" s="29">
        <v>817</v>
      </c>
      <c r="C219" s="29">
        <v>24352</v>
      </c>
      <c r="D219" s="29">
        <v>239810238</v>
      </c>
      <c r="E219" s="29">
        <f>9939/3</f>
        <v>3313</v>
      </c>
      <c r="F219" s="29"/>
      <c r="G219" s="29" t="s">
        <v>18</v>
      </c>
      <c r="H219" s="29">
        <v>117</v>
      </c>
      <c r="I219" s="29">
        <v>3777</v>
      </c>
      <c r="J219" s="29">
        <v>18317138</v>
      </c>
      <c r="K219" s="29">
        <f>5005/3</f>
        <v>1668.3333333333333</v>
      </c>
      <c r="L219" s="23"/>
    </row>
    <row r="220" spans="1:24" x14ac:dyDescent="0.2">
      <c r="A220" s="29" t="s">
        <v>19</v>
      </c>
      <c r="B220" s="29">
        <v>318</v>
      </c>
      <c r="C220" s="29">
        <v>21888</v>
      </c>
      <c r="D220" s="29">
        <v>199822695</v>
      </c>
      <c r="E220" s="29">
        <f>9209/3</f>
        <v>3069.6666666666665</v>
      </c>
      <c r="F220" s="29"/>
      <c r="G220" s="29" t="s">
        <v>19</v>
      </c>
      <c r="H220" s="29">
        <v>65</v>
      </c>
      <c r="I220" s="29">
        <v>4543</v>
      </c>
      <c r="J220" s="29">
        <v>18207792</v>
      </c>
      <c r="K220" s="29">
        <f>4058/3</f>
        <v>1352.6666666666667</v>
      </c>
      <c r="L220" s="23"/>
    </row>
    <row r="221" spans="1:24" x14ac:dyDescent="0.2">
      <c r="A221" s="29" t="s">
        <v>20</v>
      </c>
      <c r="B221" s="29">
        <v>167</v>
      </c>
      <c r="C221" s="29">
        <v>24459</v>
      </c>
      <c r="D221" s="29">
        <v>247343908</v>
      </c>
      <c r="E221" s="29">
        <f>10151/3</f>
        <v>3383.6666666666665</v>
      </c>
      <c r="F221" s="29"/>
      <c r="G221" s="29" t="s">
        <v>20</v>
      </c>
      <c r="H221" s="29">
        <v>22</v>
      </c>
      <c r="I221" s="29">
        <v>3250</v>
      </c>
      <c r="J221" s="29">
        <v>20931838</v>
      </c>
      <c r="K221" s="29">
        <f>6611/3</f>
        <v>2203.6666666666665</v>
      </c>
      <c r="L221" s="23"/>
    </row>
    <row r="222" spans="1:24" x14ac:dyDescent="0.2">
      <c r="A222" s="29" t="s">
        <v>21</v>
      </c>
      <c r="B222" s="29">
        <v>25</v>
      </c>
      <c r="C222" s="29">
        <v>8703</v>
      </c>
      <c r="D222" s="29">
        <v>115216871</v>
      </c>
      <c r="E222" s="29">
        <f>13244/3</f>
        <v>4414.666666666667</v>
      </c>
      <c r="F222" s="29"/>
      <c r="G222" s="29" t="s">
        <v>21</v>
      </c>
      <c r="H222" s="29">
        <v>7</v>
      </c>
      <c r="I222" s="29">
        <v>2343</v>
      </c>
      <c r="J222" s="29">
        <v>13348078</v>
      </c>
      <c r="K222" s="29">
        <f>6126/3</f>
        <v>2042</v>
      </c>
      <c r="L222" s="23"/>
      <c r="X222" t="s">
        <v>28</v>
      </c>
    </row>
    <row r="223" spans="1:24" x14ac:dyDescent="0.2">
      <c r="A223" s="29" t="s">
        <v>23</v>
      </c>
      <c r="B223" s="29">
        <v>15</v>
      </c>
      <c r="C223" s="29">
        <v>10209</v>
      </c>
      <c r="D223" s="29">
        <v>121267604</v>
      </c>
      <c r="E223" s="29">
        <f>11852/3</f>
        <v>3950.6666666666665</v>
      </c>
      <c r="F223" s="29"/>
      <c r="G223" s="29" t="s">
        <v>31</v>
      </c>
      <c r="H223" s="29">
        <v>7</v>
      </c>
      <c r="I223" s="29">
        <v>7052</v>
      </c>
      <c r="J223" s="29">
        <v>80983084</v>
      </c>
      <c r="K223" s="31">
        <f>3757/3</f>
        <v>1252.3333333333333</v>
      </c>
      <c r="L223" s="23"/>
    </row>
    <row r="224" spans="1:24" x14ac:dyDescent="0.2">
      <c r="A224" s="29" t="s">
        <v>24</v>
      </c>
      <c r="B224" s="29">
        <v>12</v>
      </c>
      <c r="C224" s="29">
        <v>28317</v>
      </c>
      <c r="D224" s="29">
        <v>446846524</v>
      </c>
      <c r="E224" s="29">
        <f>15803/3</f>
        <v>5267.666666666667</v>
      </c>
      <c r="F224" s="29"/>
      <c r="G224" s="29" t="s">
        <v>28</v>
      </c>
      <c r="H224" s="29" t="s">
        <v>28</v>
      </c>
      <c r="I224" s="29"/>
      <c r="J224" s="29" t="s">
        <v>28</v>
      </c>
      <c r="K224" s="29"/>
      <c r="L224" s="23"/>
    </row>
    <row r="225" spans="1:29" x14ac:dyDescent="0.2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</row>
    <row r="227" spans="1:29" x14ac:dyDescent="0.2">
      <c r="A227" s="40" t="s">
        <v>44</v>
      </c>
      <c r="B227" s="40"/>
      <c r="C227" s="40"/>
      <c r="D227" s="40"/>
      <c r="E227" s="40"/>
      <c r="F227" s="12"/>
      <c r="G227" s="40" t="s">
        <v>45</v>
      </c>
      <c r="H227" s="40"/>
      <c r="I227" s="40"/>
      <c r="J227" s="40"/>
      <c r="K227" s="40"/>
    </row>
    <row r="228" spans="1:29" x14ac:dyDescent="0.2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</row>
    <row r="229" spans="1:29" x14ac:dyDescent="0.2">
      <c r="A229" s="14"/>
      <c r="B229" s="14"/>
      <c r="C229" s="14"/>
      <c r="D229" s="14" t="s">
        <v>2</v>
      </c>
      <c r="E229" s="14" t="s">
        <v>3</v>
      </c>
      <c r="F229" s="12"/>
      <c r="G229" s="14"/>
      <c r="H229" s="14"/>
      <c r="I229" s="14"/>
      <c r="J229" s="14" t="s">
        <v>2</v>
      </c>
      <c r="K229" s="14" t="s">
        <v>3</v>
      </c>
    </row>
    <row r="230" spans="1:29" x14ac:dyDescent="0.2">
      <c r="A230" s="15" t="s">
        <v>4</v>
      </c>
      <c r="B230" s="14" t="s">
        <v>5</v>
      </c>
      <c r="C230" s="14" t="s">
        <v>6</v>
      </c>
      <c r="D230" s="14" t="s">
        <v>7</v>
      </c>
      <c r="E230" s="14" t="s">
        <v>8</v>
      </c>
      <c r="F230" s="12"/>
      <c r="G230" s="15" t="s">
        <v>4</v>
      </c>
      <c r="H230" s="14" t="s">
        <v>5</v>
      </c>
      <c r="I230" s="14" t="s">
        <v>6</v>
      </c>
      <c r="J230" s="14" t="s">
        <v>7</v>
      </c>
      <c r="K230" s="14" t="s">
        <v>8</v>
      </c>
    </row>
    <row r="231" spans="1:29" x14ac:dyDescent="0.2">
      <c r="A231" s="15" t="s">
        <v>9</v>
      </c>
      <c r="B231" s="14" t="s">
        <v>10</v>
      </c>
      <c r="C231" s="14" t="s">
        <v>11</v>
      </c>
      <c r="D231" s="14" t="s">
        <v>12</v>
      </c>
      <c r="E231" s="14" t="s">
        <v>13</v>
      </c>
      <c r="F231" s="12"/>
      <c r="G231" s="15" t="s">
        <v>9</v>
      </c>
      <c r="H231" s="14" t="s">
        <v>10</v>
      </c>
      <c r="I231" s="14" t="s">
        <v>11</v>
      </c>
      <c r="J231" s="14" t="s">
        <v>12</v>
      </c>
      <c r="K231" s="14" t="s">
        <v>13</v>
      </c>
    </row>
    <row r="233" spans="1:29" x14ac:dyDescent="0.2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</row>
    <row r="234" spans="1:29" s="13" customFormat="1" x14ac:dyDescent="0.2">
      <c r="A234" s="26" t="s">
        <v>27</v>
      </c>
      <c r="B234" s="26">
        <f>SUM(B236:B244)</f>
        <v>5954</v>
      </c>
      <c r="C234" s="26">
        <f>SUM(C236:C244)</f>
        <v>122192</v>
      </c>
      <c r="D234" s="26">
        <f>SUM(D236:D244)</f>
        <v>556738763</v>
      </c>
      <c r="E234" s="27">
        <f>4621/3</f>
        <v>1540.3333333333333</v>
      </c>
      <c r="F234" s="26"/>
      <c r="G234" s="26" t="s">
        <v>27</v>
      </c>
      <c r="H234" s="26">
        <f>SUM(H236:H244)</f>
        <v>5504</v>
      </c>
      <c r="I234" s="26">
        <f>SUM(I236:I244)</f>
        <v>40387</v>
      </c>
      <c r="J234" s="26">
        <f>SUM(J236:J2440)</f>
        <v>36396237374</v>
      </c>
      <c r="K234" s="27">
        <f>8706/3</f>
        <v>2902</v>
      </c>
      <c r="L234" s="21"/>
      <c r="M234" s="21"/>
      <c r="AA234" s="18"/>
    </row>
    <row r="235" spans="1:29" x14ac:dyDescent="0.2">
      <c r="A235" s="29" t="s">
        <v>28</v>
      </c>
      <c r="B235" s="29"/>
      <c r="C235" s="29"/>
      <c r="D235" s="29"/>
      <c r="E235" s="29"/>
      <c r="F235" s="29"/>
      <c r="G235" s="29" t="s">
        <v>28</v>
      </c>
      <c r="H235" s="29"/>
      <c r="I235" s="29"/>
      <c r="J235" s="29"/>
      <c r="K235" s="31"/>
      <c r="L235" s="23"/>
      <c r="M235" s="23"/>
    </row>
    <row r="236" spans="1:29" x14ac:dyDescent="0.2">
      <c r="A236" s="29" t="s">
        <v>15</v>
      </c>
      <c r="B236" s="29">
        <v>420</v>
      </c>
      <c r="C236" s="29">
        <v>0</v>
      </c>
      <c r="D236" s="29">
        <v>3090172</v>
      </c>
      <c r="E236" s="29">
        <f>4585/3</f>
        <v>1528.3333333333333</v>
      </c>
      <c r="F236" s="29"/>
      <c r="G236" s="29" t="s">
        <v>15</v>
      </c>
      <c r="H236" s="29">
        <v>504</v>
      </c>
      <c r="I236" s="29">
        <v>0</v>
      </c>
      <c r="J236" s="29">
        <v>1429076</v>
      </c>
      <c r="K236" s="29">
        <v>2603.0528233151185</v>
      </c>
      <c r="L236" s="23"/>
      <c r="M236" s="23"/>
      <c r="O236" s="7"/>
      <c r="P236" s="7"/>
      <c r="Y236" s="4"/>
      <c r="Z236" s="4"/>
      <c r="AA236" s="4"/>
      <c r="AB236" s="4"/>
      <c r="AC236" s="4"/>
    </row>
    <row r="237" spans="1:29" x14ac:dyDescent="0.2">
      <c r="A237" s="29" t="s">
        <v>16</v>
      </c>
      <c r="B237" s="29">
        <v>941</v>
      </c>
      <c r="C237" s="29">
        <v>2332</v>
      </c>
      <c r="D237" s="29">
        <v>13863294</v>
      </c>
      <c r="E237" s="29">
        <f>6126/3</f>
        <v>2042</v>
      </c>
      <c r="F237" s="29"/>
      <c r="G237" s="29" t="s">
        <v>16</v>
      </c>
      <c r="H237" s="29">
        <v>2878</v>
      </c>
      <c r="I237" s="29">
        <v>5638</v>
      </c>
      <c r="J237" s="29">
        <v>45911324</v>
      </c>
      <c r="K237" s="29">
        <v>2739.1757055068315</v>
      </c>
      <c r="L237" s="23"/>
      <c r="M237" s="23"/>
      <c r="O237" s="7"/>
      <c r="P237" s="7"/>
      <c r="Y237" s="4"/>
      <c r="Z237" s="4"/>
      <c r="AA237" s="4"/>
      <c r="AB237" s="4"/>
      <c r="AC237" s="4"/>
    </row>
    <row r="238" spans="1:29" x14ac:dyDescent="0.2">
      <c r="A238" s="29" t="s">
        <v>17</v>
      </c>
      <c r="B238" s="29">
        <v>920</v>
      </c>
      <c r="C238" s="29">
        <v>6463</v>
      </c>
      <c r="D238" s="29">
        <v>25875567</v>
      </c>
      <c r="E238" s="29">
        <f>4115/3</f>
        <v>1371.6666666666667</v>
      </c>
      <c r="F238" s="29"/>
      <c r="G238" s="29" t="s">
        <v>17</v>
      </c>
      <c r="H238" s="29">
        <v>1163</v>
      </c>
      <c r="I238" s="29">
        <v>7780</v>
      </c>
      <c r="J238" s="29">
        <v>57719591</v>
      </c>
      <c r="K238" s="29">
        <v>2497.9266456052278</v>
      </c>
      <c r="L238" s="23"/>
      <c r="M238" s="23"/>
      <c r="O238" s="7"/>
      <c r="P238" s="7"/>
      <c r="Y238" s="4"/>
      <c r="Z238" s="4"/>
      <c r="AA238" s="4"/>
      <c r="AB238" s="4"/>
      <c r="AC238" s="4"/>
    </row>
    <row r="239" spans="1:29" x14ac:dyDescent="0.2">
      <c r="A239" s="30" t="s">
        <v>56</v>
      </c>
      <c r="B239" s="29">
        <v>1483</v>
      </c>
      <c r="C239" s="29">
        <v>21285</v>
      </c>
      <c r="D239" s="29">
        <v>79473144</v>
      </c>
      <c r="E239" s="29">
        <f>3812/3</f>
        <v>1270.6666666666667</v>
      </c>
      <c r="F239" s="29"/>
      <c r="G239" s="30" t="s">
        <v>56</v>
      </c>
      <c r="H239" s="29">
        <v>617</v>
      </c>
      <c r="I239" s="29">
        <v>8130</v>
      </c>
      <c r="J239" s="29">
        <v>66394392</v>
      </c>
      <c r="K239" s="29">
        <v>2774.7572718154465</v>
      </c>
      <c r="L239" s="23"/>
      <c r="M239" s="23"/>
      <c r="O239" s="7"/>
      <c r="P239" s="7"/>
      <c r="Y239" s="4"/>
      <c r="Z239" s="4"/>
      <c r="AA239" s="4"/>
      <c r="AB239" s="4"/>
      <c r="AC239" s="4"/>
    </row>
    <row r="240" spans="1:29" x14ac:dyDescent="0.2">
      <c r="A240" s="29" t="s">
        <v>18</v>
      </c>
      <c r="B240" s="29">
        <v>1752</v>
      </c>
      <c r="C240" s="29">
        <v>51779</v>
      </c>
      <c r="D240" s="29">
        <v>205373147</v>
      </c>
      <c r="E240" s="29">
        <f>4063/3</f>
        <v>1354.3333333333333</v>
      </c>
      <c r="F240" s="29"/>
      <c r="G240" s="29" t="s">
        <v>18</v>
      </c>
      <c r="H240" s="29">
        <v>252</v>
      </c>
      <c r="I240" s="29">
        <v>7344</v>
      </c>
      <c r="J240" s="29">
        <v>62072927</v>
      </c>
      <c r="K240" s="29">
        <v>2856.422944181124</v>
      </c>
      <c r="L240" s="23"/>
      <c r="M240" s="23"/>
      <c r="O240" s="7"/>
      <c r="P240" s="7"/>
      <c r="Y240" s="4"/>
      <c r="Z240" s="4"/>
      <c r="AA240" s="4"/>
      <c r="AB240" s="4"/>
      <c r="AC240" s="4"/>
    </row>
    <row r="241" spans="1:29" x14ac:dyDescent="0.2">
      <c r="A241" s="29" t="s">
        <v>19</v>
      </c>
      <c r="B241" s="29">
        <v>354</v>
      </c>
      <c r="C241" s="29">
        <v>23081</v>
      </c>
      <c r="D241" s="29">
        <v>108145672</v>
      </c>
      <c r="E241" s="29">
        <f>4780/3</f>
        <v>1593.3333333333333</v>
      </c>
      <c r="F241" s="29"/>
      <c r="G241" s="29" t="s">
        <v>19</v>
      </c>
      <c r="H241" s="29">
        <v>59</v>
      </c>
      <c r="I241" s="29">
        <v>3984</v>
      </c>
      <c r="J241" s="29">
        <v>35783597</v>
      </c>
      <c r="K241" s="29">
        <v>2989.4400167084377</v>
      </c>
      <c r="L241" s="23"/>
      <c r="M241" s="23"/>
      <c r="O241" s="7"/>
      <c r="P241" s="7"/>
      <c r="Y241" s="4"/>
      <c r="Z241" s="4"/>
      <c r="AA241" s="4"/>
      <c r="AB241" s="4"/>
      <c r="AC241" s="4"/>
    </row>
    <row r="242" spans="1:29" x14ac:dyDescent="0.2">
      <c r="A242" s="29" t="s">
        <v>20</v>
      </c>
      <c r="B242" s="29">
        <v>68</v>
      </c>
      <c r="C242" s="29">
        <v>9198</v>
      </c>
      <c r="D242" s="29">
        <v>55904411</v>
      </c>
      <c r="E242" s="29">
        <f>6126/3</f>
        <v>2042</v>
      </c>
      <c r="F242" s="29"/>
      <c r="G242" s="29" t="s">
        <v>20</v>
      </c>
      <c r="H242" s="29">
        <v>21</v>
      </c>
      <c r="I242" s="29">
        <v>2928</v>
      </c>
      <c r="J242" s="29">
        <v>32661377</v>
      </c>
      <c r="K242" s="29">
        <v>3768.9103392568659</v>
      </c>
      <c r="L242" s="23"/>
      <c r="M242" s="23"/>
      <c r="O242" s="7"/>
      <c r="P242" s="7"/>
      <c r="Y242" s="4"/>
      <c r="Z242" s="4"/>
      <c r="AA242" s="4"/>
      <c r="AB242" s="4"/>
      <c r="AC242" s="4"/>
    </row>
    <row r="243" spans="1:29" x14ac:dyDescent="0.2">
      <c r="A243" s="29" t="s">
        <v>21</v>
      </c>
      <c r="B243" s="29">
        <v>11</v>
      </c>
      <c r="C243" s="29">
        <v>3575</v>
      </c>
      <c r="D243" s="29">
        <v>27046789</v>
      </c>
      <c r="E243" s="29">
        <f>7627/3</f>
        <v>2542.3333333333335</v>
      </c>
      <c r="F243" s="29"/>
      <c r="G243" s="29" t="s">
        <v>21</v>
      </c>
      <c r="H243" s="29">
        <v>7</v>
      </c>
      <c r="I243" s="29">
        <v>2581</v>
      </c>
      <c r="J243" s="29">
        <v>19994278</v>
      </c>
      <c r="K243" s="29">
        <v>2581.9057334710742</v>
      </c>
      <c r="L243" s="23"/>
      <c r="M243" s="23"/>
      <c r="O243" s="7"/>
      <c r="P243" s="7"/>
      <c r="Y243" s="4"/>
      <c r="Z243" s="4"/>
      <c r="AA243" s="4"/>
      <c r="AB243" s="4"/>
      <c r="AC243" s="4"/>
    </row>
    <row r="244" spans="1:29" x14ac:dyDescent="0.2">
      <c r="A244" s="29" t="s">
        <v>31</v>
      </c>
      <c r="B244" s="29">
        <v>5</v>
      </c>
      <c r="C244" s="29">
        <v>4479</v>
      </c>
      <c r="D244" s="29">
        <v>37966567</v>
      </c>
      <c r="E244" s="31">
        <v>2768</v>
      </c>
      <c r="F244" s="29"/>
      <c r="G244" s="29" t="s">
        <v>54</v>
      </c>
      <c r="H244" s="29">
        <v>3</v>
      </c>
      <c r="I244" s="29">
        <v>2002</v>
      </c>
      <c r="J244" s="29">
        <v>27588194</v>
      </c>
      <c r="K244" s="29">
        <v>4615.7259494729797</v>
      </c>
      <c r="L244" s="23"/>
      <c r="M244" s="23"/>
      <c r="O244" s="7"/>
      <c r="P244" s="7"/>
      <c r="Y244" s="4"/>
      <c r="Z244" s="4"/>
      <c r="AA244" s="4"/>
      <c r="AB244" s="4"/>
      <c r="AC244" s="4"/>
    </row>
    <row r="245" spans="1:29" x14ac:dyDescent="0.2">
      <c r="A245" s="25"/>
      <c r="B245" s="25"/>
      <c r="C245" s="25" t="s">
        <v>28</v>
      </c>
      <c r="D245" s="25"/>
      <c r="E245" s="25"/>
      <c r="F245" s="25"/>
      <c r="G245" s="25"/>
      <c r="H245" s="25"/>
      <c r="I245" s="25"/>
      <c r="J245" s="25"/>
      <c r="K245" s="25"/>
      <c r="O245" s="7"/>
      <c r="P245" s="7"/>
      <c r="Y245" s="4"/>
      <c r="Z245" s="4"/>
      <c r="AA245" s="4"/>
      <c r="AB245" s="4"/>
      <c r="AC245" s="4"/>
    </row>
    <row r="246" spans="1:29" x14ac:dyDescent="0.2">
      <c r="Y246" s="4"/>
      <c r="Z246" s="4"/>
      <c r="AA246" s="4"/>
      <c r="AB246" s="4"/>
      <c r="AC246" s="4"/>
    </row>
    <row r="247" spans="1:29" x14ac:dyDescent="0.2">
      <c r="A247" s="38" t="s">
        <v>63</v>
      </c>
      <c r="B247" s="39"/>
      <c r="C247" s="39"/>
      <c r="D247" s="39"/>
      <c r="E247" s="39"/>
      <c r="F247" s="39"/>
      <c r="G247" s="39"/>
      <c r="H247" s="39"/>
      <c r="I247" s="39"/>
    </row>
    <row r="251" spans="1:29" x14ac:dyDescent="0.2">
      <c r="D251" s="38"/>
      <c r="E251" s="39"/>
      <c r="F251" s="39"/>
      <c r="G251" s="39"/>
      <c r="H251" s="39"/>
    </row>
    <row r="252" spans="1:29" x14ac:dyDescent="0.2">
      <c r="A252" s="41" t="s">
        <v>68</v>
      </c>
      <c r="B252" s="44"/>
      <c r="C252" s="44"/>
      <c r="D252" s="44"/>
      <c r="E252" s="44"/>
      <c r="F252" s="44"/>
      <c r="G252" s="44"/>
      <c r="H252" s="44"/>
      <c r="I252" s="44"/>
      <c r="J252" s="44"/>
      <c r="K252" s="44"/>
    </row>
    <row r="253" spans="1:29" x14ac:dyDescent="0.2">
      <c r="A253" s="41" t="s">
        <v>64</v>
      </c>
      <c r="B253" s="43"/>
      <c r="C253" s="43"/>
      <c r="D253" s="43"/>
      <c r="E253" s="43"/>
      <c r="F253" s="43"/>
      <c r="G253" s="43"/>
      <c r="H253" s="43"/>
      <c r="I253" s="43"/>
      <c r="J253" s="43"/>
      <c r="K253" s="43"/>
    </row>
    <row r="254" spans="1:29" x14ac:dyDescent="0.2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</row>
    <row r="255" spans="1:29" x14ac:dyDescent="0.2">
      <c r="A255" s="40" t="s">
        <v>53</v>
      </c>
      <c r="B255" s="40"/>
      <c r="C255" s="40"/>
      <c r="D255" s="40"/>
      <c r="E255" s="40"/>
      <c r="F255" s="12"/>
      <c r="G255" s="40" t="s">
        <v>46</v>
      </c>
      <c r="H255" s="40"/>
      <c r="I255" s="40"/>
      <c r="J255" s="40"/>
      <c r="K255" s="40"/>
    </row>
    <row r="256" spans="1:29" x14ac:dyDescent="0.2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</row>
    <row r="257" spans="1:11" x14ac:dyDescent="0.2">
      <c r="A257" s="14"/>
      <c r="B257" s="14"/>
      <c r="C257" s="14"/>
      <c r="D257" s="14" t="s">
        <v>2</v>
      </c>
      <c r="E257" s="14" t="s">
        <v>3</v>
      </c>
      <c r="F257" s="12"/>
      <c r="G257" s="14"/>
      <c r="H257" s="14"/>
      <c r="I257" s="14"/>
      <c r="J257" s="14" t="s">
        <v>2</v>
      </c>
      <c r="K257" s="14" t="s">
        <v>3</v>
      </c>
    </row>
    <row r="258" spans="1:11" x14ac:dyDescent="0.2">
      <c r="A258" s="15" t="s">
        <v>4</v>
      </c>
      <c r="B258" s="14" t="s">
        <v>5</v>
      </c>
      <c r="C258" s="14" t="s">
        <v>6</v>
      </c>
      <c r="D258" s="14" t="s">
        <v>7</v>
      </c>
      <c r="E258" s="14" t="s">
        <v>8</v>
      </c>
      <c r="F258" s="12"/>
      <c r="G258" s="15" t="s">
        <v>4</v>
      </c>
      <c r="H258" s="14" t="s">
        <v>5</v>
      </c>
      <c r="I258" s="14" t="s">
        <v>6</v>
      </c>
      <c r="J258" s="14" t="s">
        <v>7</v>
      </c>
      <c r="K258" s="14" t="s">
        <v>8</v>
      </c>
    </row>
    <row r="259" spans="1:11" x14ac:dyDescent="0.2">
      <c r="A259" s="15" t="s">
        <v>9</v>
      </c>
      <c r="B259" s="14" t="s">
        <v>10</v>
      </c>
      <c r="C259" s="14" t="s">
        <v>11</v>
      </c>
      <c r="D259" s="14" t="s">
        <v>12</v>
      </c>
      <c r="E259" s="14" t="s">
        <v>13</v>
      </c>
      <c r="F259" s="12"/>
      <c r="G259" s="15" t="s">
        <v>9</v>
      </c>
      <c r="H259" s="14" t="s">
        <v>10</v>
      </c>
      <c r="I259" s="14" t="s">
        <v>11</v>
      </c>
      <c r="J259" s="14" t="s">
        <v>12</v>
      </c>
      <c r="K259" s="14" t="s">
        <v>13</v>
      </c>
    </row>
    <row r="262" spans="1:11" s="13" customFormat="1" x14ac:dyDescent="0.2">
      <c r="A262" s="13" t="s">
        <v>27</v>
      </c>
      <c r="B262" s="13">
        <f>SUM(B264:B273)</f>
        <v>4255</v>
      </c>
      <c r="C262" s="13">
        <f>SUM(C264:C273)</f>
        <v>249853</v>
      </c>
      <c r="D262" s="16">
        <f>SUM( D264:D273)</f>
        <v>2706666679</v>
      </c>
      <c r="E262" s="19">
        <f>10904/3</f>
        <v>3634.6666666666665</v>
      </c>
      <c r="G262" s="13" t="s">
        <v>27</v>
      </c>
      <c r="H262" s="13">
        <f>SUM(H264:H273)</f>
        <v>550</v>
      </c>
      <c r="I262" s="13">
        <f>SUM(I264:I273)</f>
        <v>35697</v>
      </c>
      <c r="J262" s="16">
        <f>SUM(J264:J273)</f>
        <v>609047067</v>
      </c>
      <c r="K262" s="16">
        <f>17162/3</f>
        <v>5720.666666666667</v>
      </c>
    </row>
    <row r="263" spans="1:11" x14ac:dyDescent="0.2">
      <c r="A263" t="s">
        <v>28</v>
      </c>
      <c r="G263" t="s">
        <v>28</v>
      </c>
    </row>
    <row r="264" spans="1:11" x14ac:dyDescent="0.2">
      <c r="A264" t="s">
        <v>15</v>
      </c>
      <c r="B264">
        <v>76</v>
      </c>
      <c r="C264">
        <v>0</v>
      </c>
      <c r="D264">
        <v>116130</v>
      </c>
      <c r="E264">
        <f>13400/3</f>
        <v>4466.666666666667</v>
      </c>
      <c r="G264" t="s">
        <v>15</v>
      </c>
      <c r="H264">
        <v>14</v>
      </c>
      <c r="I264">
        <v>0</v>
      </c>
      <c r="J264">
        <v>93227</v>
      </c>
      <c r="K264">
        <f>18645/3</f>
        <v>6215</v>
      </c>
    </row>
    <row r="265" spans="1:11" x14ac:dyDescent="0.2">
      <c r="A265" t="s">
        <v>16</v>
      </c>
      <c r="B265">
        <v>1022</v>
      </c>
      <c r="C265">
        <v>2175</v>
      </c>
      <c r="D265">
        <v>23778632</v>
      </c>
      <c r="E265">
        <f>10864/3</f>
        <v>3621.3333333333335</v>
      </c>
      <c r="G265" t="s">
        <v>16</v>
      </c>
      <c r="H265">
        <v>243</v>
      </c>
      <c r="I265">
        <v>475</v>
      </c>
      <c r="J265">
        <v>6632950</v>
      </c>
      <c r="K265">
        <f>13964/3</f>
        <v>4654.666666666667</v>
      </c>
    </row>
    <row r="266" spans="1:11" x14ac:dyDescent="0.2">
      <c r="A266" t="s">
        <v>17</v>
      </c>
      <c r="B266">
        <v>721</v>
      </c>
      <c r="C266">
        <v>4767</v>
      </c>
      <c r="D266">
        <v>42757956</v>
      </c>
      <c r="E266">
        <f>8985/3</f>
        <v>2995</v>
      </c>
      <c r="G266" t="s">
        <v>17</v>
      </c>
      <c r="H266">
        <v>82</v>
      </c>
      <c r="I266">
        <v>559</v>
      </c>
      <c r="J266">
        <v>7933724</v>
      </c>
      <c r="K266">
        <f>14235/3</f>
        <v>4745</v>
      </c>
    </row>
    <row r="267" spans="1:11" x14ac:dyDescent="0.2">
      <c r="A267" s="3" t="s">
        <v>56</v>
      </c>
      <c r="B267">
        <v>614</v>
      </c>
      <c r="C267">
        <v>8492</v>
      </c>
      <c r="D267">
        <v>89003322</v>
      </c>
      <c r="E267">
        <f>10595/3</f>
        <v>3531.6666666666665</v>
      </c>
      <c r="G267" s="3" t="s">
        <v>56</v>
      </c>
      <c r="H267">
        <v>71</v>
      </c>
      <c r="I267">
        <v>995</v>
      </c>
      <c r="J267">
        <v>17204062</v>
      </c>
      <c r="K267">
        <f>17567/3</f>
        <v>5855.666666666667</v>
      </c>
    </row>
    <row r="268" spans="1:11" x14ac:dyDescent="0.2">
      <c r="A268" t="s">
        <v>18</v>
      </c>
      <c r="B268">
        <v>682</v>
      </c>
      <c r="C268">
        <v>22422</v>
      </c>
      <c r="D268">
        <v>224865844</v>
      </c>
      <c r="E268">
        <f>10028/3</f>
        <v>3342.6666666666665</v>
      </c>
      <c r="G268" t="s">
        <v>18</v>
      </c>
      <c r="H268">
        <v>63</v>
      </c>
      <c r="I268">
        <v>2005</v>
      </c>
      <c r="J268">
        <v>30852222</v>
      </c>
      <c r="K268">
        <f>15478/3</f>
        <v>5159.333333333333</v>
      </c>
    </row>
    <row r="269" spans="1:11" x14ac:dyDescent="0.2">
      <c r="A269" t="s">
        <v>19</v>
      </c>
      <c r="B269">
        <v>756</v>
      </c>
      <c r="C269">
        <v>52556</v>
      </c>
      <c r="D269">
        <v>493901343</v>
      </c>
      <c r="E269">
        <f>9421/3</f>
        <v>3140.3333333333335</v>
      </c>
      <c r="F269" t="s">
        <v>28</v>
      </c>
      <c r="G269" t="s">
        <v>19</v>
      </c>
      <c r="H269">
        <v>42</v>
      </c>
      <c r="I269">
        <v>3077</v>
      </c>
      <c r="J269">
        <v>51852626</v>
      </c>
      <c r="K269">
        <f>16995/3</f>
        <v>5665</v>
      </c>
    </row>
    <row r="270" spans="1:11" x14ac:dyDescent="0.2">
      <c r="A270" t="s">
        <v>20</v>
      </c>
      <c r="B270">
        <v>278</v>
      </c>
      <c r="C270">
        <v>41174</v>
      </c>
      <c r="D270">
        <v>413576470</v>
      </c>
      <c r="E270">
        <f>10086/3</f>
        <v>3362</v>
      </c>
      <c r="G270" t="s">
        <v>20</v>
      </c>
      <c r="H270">
        <v>20</v>
      </c>
      <c r="I270">
        <v>3071</v>
      </c>
      <c r="J270">
        <v>60217373</v>
      </c>
      <c r="K270">
        <f>19705/3</f>
        <v>6568.333333333333</v>
      </c>
    </row>
    <row r="271" spans="1:11" x14ac:dyDescent="0.2">
      <c r="A271" t="s">
        <v>21</v>
      </c>
      <c r="B271">
        <v>62</v>
      </c>
      <c r="C271">
        <v>21093</v>
      </c>
      <c r="D271">
        <v>231493763</v>
      </c>
      <c r="E271">
        <f>11054/3</f>
        <v>3684.6666666666665</v>
      </c>
      <c r="G271" t="s">
        <v>21</v>
      </c>
      <c r="H271">
        <v>7</v>
      </c>
      <c r="I271">
        <v>2368</v>
      </c>
      <c r="J271">
        <v>50885371</v>
      </c>
      <c r="K271">
        <f>21425/3</f>
        <v>7141.666666666667</v>
      </c>
    </row>
    <row r="272" spans="1:11" x14ac:dyDescent="0.2">
      <c r="A272" t="s">
        <v>23</v>
      </c>
      <c r="B272">
        <v>25</v>
      </c>
      <c r="C272">
        <v>16503</v>
      </c>
      <c r="D272">
        <v>161600714</v>
      </c>
      <c r="E272">
        <f>9873/3</f>
        <v>3291</v>
      </c>
      <c r="G272" t="s">
        <v>55</v>
      </c>
      <c r="H272">
        <v>4</v>
      </c>
      <c r="I272">
        <v>2269</v>
      </c>
      <c r="J272">
        <v>33724971</v>
      </c>
      <c r="K272">
        <f>14757/3</f>
        <v>4919</v>
      </c>
    </row>
    <row r="273" spans="1:11" x14ac:dyDescent="0.2">
      <c r="A273" t="s">
        <v>24</v>
      </c>
      <c r="B273">
        <v>19</v>
      </c>
      <c r="C273">
        <v>80671</v>
      </c>
      <c r="D273">
        <v>1025572505</v>
      </c>
      <c r="E273">
        <f>12866/3</f>
        <v>4288.666666666667</v>
      </c>
      <c r="G273" t="s">
        <v>24</v>
      </c>
      <c r="H273">
        <v>4</v>
      </c>
      <c r="I273">
        <v>20878</v>
      </c>
      <c r="J273">
        <v>349650541</v>
      </c>
      <c r="K273">
        <f>16882/3</f>
        <v>5627.333333333333</v>
      </c>
    </row>
    <row r="277" spans="1:11" x14ac:dyDescent="0.2">
      <c r="A277" s="40" t="s">
        <v>47</v>
      </c>
      <c r="B277" s="40"/>
      <c r="C277" s="40"/>
      <c r="D277" s="40"/>
      <c r="E277" s="40"/>
      <c r="F277" s="12"/>
      <c r="G277" s="40" t="s">
        <v>48</v>
      </c>
      <c r="H277" s="40"/>
      <c r="I277" s="40"/>
      <c r="J277" s="40"/>
      <c r="K277" s="40"/>
    </row>
    <row r="278" spans="1:11" x14ac:dyDescent="0.2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</row>
    <row r="279" spans="1:11" x14ac:dyDescent="0.2">
      <c r="A279" s="14"/>
      <c r="B279" s="14"/>
      <c r="C279" s="14"/>
      <c r="D279" s="14" t="s">
        <v>2</v>
      </c>
      <c r="E279" s="14" t="s">
        <v>3</v>
      </c>
      <c r="F279" s="12"/>
      <c r="G279" s="14"/>
      <c r="H279" s="14"/>
      <c r="I279" s="14"/>
      <c r="J279" s="14" t="s">
        <v>2</v>
      </c>
      <c r="K279" s="14" t="s">
        <v>3</v>
      </c>
    </row>
    <row r="280" spans="1:11" x14ac:dyDescent="0.2">
      <c r="A280" s="15" t="s">
        <v>4</v>
      </c>
      <c r="B280" s="14" t="s">
        <v>5</v>
      </c>
      <c r="C280" s="14" t="s">
        <v>6</v>
      </c>
      <c r="D280" s="14" t="s">
        <v>7</v>
      </c>
      <c r="E280" s="14" t="s">
        <v>8</v>
      </c>
      <c r="F280" s="12"/>
      <c r="G280" s="15" t="s">
        <v>4</v>
      </c>
      <c r="H280" s="14" t="s">
        <v>5</v>
      </c>
      <c r="I280" s="14" t="s">
        <v>6</v>
      </c>
      <c r="J280" s="14" t="s">
        <v>7</v>
      </c>
      <c r="K280" s="14" t="s">
        <v>8</v>
      </c>
    </row>
    <row r="281" spans="1:11" x14ac:dyDescent="0.2">
      <c r="A281" s="15" t="s">
        <v>9</v>
      </c>
      <c r="B281" s="14" t="s">
        <v>10</v>
      </c>
      <c r="C281" s="14" t="s">
        <v>11</v>
      </c>
      <c r="D281" s="14" t="s">
        <v>12</v>
      </c>
      <c r="E281" s="14" t="s">
        <v>13</v>
      </c>
      <c r="F281" s="12"/>
      <c r="G281" s="15" t="s">
        <v>9</v>
      </c>
      <c r="H281" s="14" t="s">
        <v>10</v>
      </c>
      <c r="I281" s="14" t="s">
        <v>11</v>
      </c>
      <c r="J281" s="14" t="s">
        <v>12</v>
      </c>
      <c r="K281" s="14" t="s">
        <v>13</v>
      </c>
    </row>
    <row r="283" spans="1:11" x14ac:dyDescent="0.2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</row>
    <row r="284" spans="1:11" s="13" customFormat="1" x14ac:dyDescent="0.2">
      <c r="A284" s="26" t="s">
        <v>27</v>
      </c>
      <c r="B284" s="26">
        <f>SUM(B286:B297)</f>
        <v>26</v>
      </c>
      <c r="C284" s="26">
        <f>SUM(C286:C297)</f>
        <v>14253</v>
      </c>
      <c r="D284" s="27">
        <f>SUM(D286:D297)</f>
        <v>255358230</v>
      </c>
      <c r="E284" s="27">
        <f>17909/3</f>
        <v>5969.666666666667</v>
      </c>
      <c r="F284" s="26"/>
      <c r="G284" s="26" t="s">
        <v>27</v>
      </c>
      <c r="H284" s="26">
        <f>SUM(H286:H295)</f>
        <v>980</v>
      </c>
      <c r="I284" s="26">
        <f>SUM(I286:I295)</f>
        <v>83462</v>
      </c>
      <c r="J284" s="27">
        <f>SUM(J286:J295)</f>
        <v>936419780</v>
      </c>
      <c r="K284" s="27">
        <f>11332/3</f>
        <v>3777.3333333333335</v>
      </c>
    </row>
    <row r="285" spans="1:11" x14ac:dyDescent="0.2">
      <c r="A285" s="29"/>
      <c r="B285" s="29"/>
      <c r="C285" s="29"/>
      <c r="D285" s="29"/>
      <c r="E285" s="29"/>
      <c r="F285" s="29"/>
      <c r="G285" s="29" t="s">
        <v>28</v>
      </c>
      <c r="H285" s="29"/>
      <c r="I285" s="29"/>
      <c r="J285" s="29"/>
      <c r="K285" s="29"/>
    </row>
    <row r="286" spans="1:11" x14ac:dyDescent="0.2">
      <c r="A286" s="34">
        <v>0</v>
      </c>
      <c r="B286" s="29">
        <v>8</v>
      </c>
      <c r="C286" s="29">
        <v>24</v>
      </c>
      <c r="D286" s="29">
        <v>362457</v>
      </c>
      <c r="E286" s="29">
        <f>15534/3</f>
        <v>5178</v>
      </c>
      <c r="F286" s="29"/>
      <c r="G286" s="34">
        <v>0</v>
      </c>
      <c r="H286" s="29">
        <v>22</v>
      </c>
      <c r="I286" s="29">
        <v>0</v>
      </c>
      <c r="J286" s="31">
        <v>7396</v>
      </c>
      <c r="K286" s="31">
        <f>5547/3</f>
        <v>1849</v>
      </c>
    </row>
    <row r="287" spans="1:11" x14ac:dyDescent="0.2">
      <c r="A287" s="30" t="s">
        <v>16</v>
      </c>
      <c r="B287" s="29">
        <v>3</v>
      </c>
      <c r="C287" s="29">
        <v>22</v>
      </c>
      <c r="D287" s="29">
        <v>371612</v>
      </c>
      <c r="E287" s="29">
        <f>16639/3</f>
        <v>5546.333333333333</v>
      </c>
      <c r="F287" s="29"/>
      <c r="G287" s="30" t="s">
        <v>16</v>
      </c>
      <c r="H287" s="29">
        <v>364</v>
      </c>
      <c r="I287" s="29">
        <v>682</v>
      </c>
      <c r="J287" s="29">
        <v>8017121</v>
      </c>
      <c r="K287" s="29">
        <f>11778/3</f>
        <v>3926</v>
      </c>
    </row>
    <row r="288" spans="1:11" x14ac:dyDescent="0.2">
      <c r="A288" s="29" t="s">
        <v>17</v>
      </c>
      <c r="B288" s="29">
        <v>1</v>
      </c>
      <c r="C288" s="29">
        <v>15</v>
      </c>
      <c r="D288" s="29">
        <v>213972</v>
      </c>
      <c r="E288" s="29">
        <f>14928/3</f>
        <v>4976</v>
      </c>
      <c r="F288" s="29"/>
      <c r="G288" s="29" t="s">
        <v>17</v>
      </c>
      <c r="H288" s="29">
        <v>181</v>
      </c>
      <c r="I288" s="29">
        <v>1199</v>
      </c>
      <c r="J288" s="29">
        <v>11816606</v>
      </c>
      <c r="K288" s="29">
        <f>10003/3</f>
        <v>3334.3333333333335</v>
      </c>
    </row>
    <row r="289" spans="1:11" x14ac:dyDescent="0.2">
      <c r="A289" s="30" t="s">
        <v>56</v>
      </c>
      <c r="B289" s="29">
        <v>4</v>
      </c>
      <c r="C289" s="29">
        <v>120</v>
      </c>
      <c r="D289" s="29">
        <v>1895280</v>
      </c>
      <c r="E289" s="29">
        <f>15578/3</f>
        <v>5192.666666666667</v>
      </c>
      <c r="F289" s="29"/>
      <c r="G289" s="30" t="s">
        <v>56</v>
      </c>
      <c r="H289" s="29">
        <v>162</v>
      </c>
      <c r="I289" s="29">
        <v>2241</v>
      </c>
      <c r="J289" s="29">
        <v>21544435</v>
      </c>
      <c r="K289" s="29">
        <f>9608/3</f>
        <v>3202.6666666666665</v>
      </c>
    </row>
    <row r="290" spans="1:11" x14ac:dyDescent="0.2">
      <c r="A290" s="29" t="s">
        <v>18</v>
      </c>
      <c r="B290" s="29">
        <v>2</v>
      </c>
      <c r="C290" s="29">
        <v>123</v>
      </c>
      <c r="D290" s="29">
        <v>1975660</v>
      </c>
      <c r="E290" s="29">
        <f>15556/3</f>
        <v>5185.333333333333</v>
      </c>
      <c r="F290" s="29"/>
      <c r="G290" s="29" t="s">
        <v>18</v>
      </c>
      <c r="H290" s="29">
        <v>118</v>
      </c>
      <c r="I290" s="29">
        <v>3684</v>
      </c>
      <c r="J290" s="29">
        <v>36317222</v>
      </c>
      <c r="K290" s="29">
        <f>9919/3</f>
        <v>3306.3333333333335</v>
      </c>
    </row>
    <row r="291" spans="1:11" x14ac:dyDescent="0.2">
      <c r="A291" s="29" t="s">
        <v>19</v>
      </c>
      <c r="B291" s="29">
        <v>4</v>
      </c>
      <c r="C291" s="29">
        <v>648</v>
      </c>
      <c r="D291" s="29">
        <v>11160956</v>
      </c>
      <c r="E291" s="29">
        <f>17162/3</f>
        <v>5720.666666666667</v>
      </c>
      <c r="F291" s="29"/>
      <c r="G291" s="29" t="s">
        <v>19</v>
      </c>
      <c r="H291" s="29">
        <v>62</v>
      </c>
      <c r="I291" s="29">
        <v>4267</v>
      </c>
      <c r="J291" s="29">
        <v>48415543</v>
      </c>
      <c r="K291" s="29">
        <f>11326/3</f>
        <v>3775.3333333333335</v>
      </c>
    </row>
    <row r="292" spans="1:11" x14ac:dyDescent="0.2">
      <c r="A292" s="29" t="s">
        <v>20</v>
      </c>
      <c r="B292" s="29">
        <v>2</v>
      </c>
      <c r="C292" s="29">
        <v>835</v>
      </c>
      <c r="D292" s="29">
        <v>14945998</v>
      </c>
      <c r="E292" s="29">
        <f>17985/3</f>
        <v>5995</v>
      </c>
      <c r="F292" s="29"/>
      <c r="G292" s="29" t="s">
        <v>20</v>
      </c>
      <c r="H292" s="29">
        <v>28</v>
      </c>
      <c r="I292" s="29">
        <v>4557</v>
      </c>
      <c r="J292" s="29">
        <v>47969389</v>
      </c>
      <c r="K292" s="29">
        <f>10616/3</f>
        <v>3538.6666666666665</v>
      </c>
    </row>
    <row r="293" spans="1:11" x14ac:dyDescent="0.2">
      <c r="A293" s="29" t="s">
        <v>21</v>
      </c>
      <c r="B293" s="29">
        <v>1</v>
      </c>
      <c r="C293" s="29">
        <v>543</v>
      </c>
      <c r="D293" s="29">
        <v>8427509</v>
      </c>
      <c r="E293" s="29">
        <f>15520/3</f>
        <v>5173.333333333333</v>
      </c>
      <c r="F293" s="29"/>
      <c r="G293" s="29" t="s">
        <v>21</v>
      </c>
      <c r="H293" s="29">
        <v>18</v>
      </c>
      <c r="I293" s="29">
        <v>6539</v>
      </c>
      <c r="J293" s="29">
        <v>72353365</v>
      </c>
      <c r="K293" s="29">
        <f>11171/3</f>
        <v>3723.6666666666665</v>
      </c>
    </row>
    <row r="294" spans="1:11" x14ac:dyDescent="0.2">
      <c r="A294" s="29" t="s">
        <v>23</v>
      </c>
      <c r="B294" s="29">
        <v>1</v>
      </c>
      <c r="C294" s="29">
        <v>11923</v>
      </c>
      <c r="D294" s="29">
        <v>216004786</v>
      </c>
      <c r="E294" s="29">
        <f>18113/3</f>
        <v>6037.666666666667</v>
      </c>
      <c r="F294" s="29"/>
      <c r="G294" s="29" t="s">
        <v>23</v>
      </c>
      <c r="H294" s="29">
        <v>12</v>
      </c>
      <c r="I294" s="29">
        <v>7594</v>
      </c>
      <c r="J294" s="29">
        <v>71007592</v>
      </c>
      <c r="K294" s="29">
        <f>9395/3</f>
        <v>3131.6666666666665</v>
      </c>
    </row>
    <row r="295" spans="1:11" x14ac:dyDescent="0.2">
      <c r="A295" s="29" t="s">
        <v>24</v>
      </c>
      <c r="B295" s="29"/>
      <c r="C295" s="29"/>
      <c r="D295" s="29"/>
      <c r="E295" s="29"/>
      <c r="F295" s="29"/>
      <c r="G295" s="29" t="s">
        <v>24</v>
      </c>
      <c r="H295" s="29">
        <v>13</v>
      </c>
      <c r="I295" s="29">
        <v>52699</v>
      </c>
      <c r="J295" s="29">
        <v>618971111</v>
      </c>
      <c r="K295" s="29">
        <f>11895/3</f>
        <v>3965</v>
      </c>
    </row>
    <row r="296" spans="1:11" x14ac:dyDescent="0.2">
      <c r="A296" s="25"/>
      <c r="B296" s="35"/>
      <c r="C296" s="35"/>
      <c r="D296" s="35"/>
      <c r="E296" s="35"/>
      <c r="F296" s="25"/>
      <c r="G296" s="25"/>
      <c r="H296" s="25"/>
      <c r="I296" s="25"/>
      <c r="J296" s="25"/>
      <c r="K296" s="25"/>
    </row>
    <row r="297" spans="1:11" x14ac:dyDescent="0.2">
      <c r="A297" s="38" t="s">
        <v>63</v>
      </c>
      <c r="B297" s="39"/>
      <c r="C297" s="39"/>
      <c r="D297" s="39"/>
      <c r="E297" s="39"/>
      <c r="F297" s="39"/>
      <c r="G297" s="39"/>
      <c r="H297" s="39"/>
      <c r="I297" s="39"/>
    </row>
    <row r="302" spans="1:11" x14ac:dyDescent="0.2">
      <c r="D302" s="38"/>
      <c r="E302" s="39"/>
      <c r="F302" s="39"/>
      <c r="G302" s="39"/>
      <c r="H302" s="39"/>
    </row>
    <row r="303" spans="1:11" x14ac:dyDescent="0.2">
      <c r="A303" s="41" t="s">
        <v>67</v>
      </c>
      <c r="B303" s="44"/>
      <c r="C303" s="44"/>
      <c r="D303" s="44"/>
      <c r="E303" s="44"/>
      <c r="F303" s="44"/>
      <c r="G303" s="44"/>
      <c r="H303" s="44"/>
      <c r="I303" s="44"/>
      <c r="J303" s="44"/>
      <c r="K303" s="44"/>
    </row>
    <row r="304" spans="1:11" x14ac:dyDescent="0.2">
      <c r="A304" s="41" t="s">
        <v>64</v>
      </c>
      <c r="B304" s="43"/>
      <c r="C304" s="43"/>
      <c r="D304" s="43"/>
      <c r="E304" s="43"/>
      <c r="F304" s="43"/>
      <c r="G304" s="43"/>
      <c r="H304" s="43"/>
      <c r="I304" s="43"/>
      <c r="J304" s="43"/>
      <c r="K304" s="43"/>
    </row>
    <row r="305" spans="1:11" x14ac:dyDescent="0.2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</row>
    <row r="306" spans="1:11" x14ac:dyDescent="0.2">
      <c r="A306" s="40" t="s">
        <v>49</v>
      </c>
      <c r="B306" s="40"/>
      <c r="C306" s="40"/>
      <c r="D306" s="40"/>
      <c r="E306" s="40"/>
      <c r="F306" s="12"/>
      <c r="G306" s="40" t="s">
        <v>50</v>
      </c>
      <c r="H306" s="40"/>
      <c r="I306" s="40"/>
      <c r="J306" s="40"/>
      <c r="K306" s="40"/>
    </row>
    <row r="307" spans="1:11" x14ac:dyDescent="0.2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</row>
    <row r="308" spans="1:11" x14ac:dyDescent="0.2">
      <c r="A308" s="14"/>
      <c r="B308" s="14"/>
      <c r="C308" s="14"/>
      <c r="D308" s="14" t="s">
        <v>2</v>
      </c>
      <c r="E308" s="14" t="s">
        <v>3</v>
      </c>
      <c r="F308" s="12"/>
      <c r="G308" s="14"/>
      <c r="H308" s="14"/>
      <c r="I308" s="14"/>
      <c r="J308" s="14" t="s">
        <v>2</v>
      </c>
      <c r="K308" s="14" t="s">
        <v>3</v>
      </c>
    </row>
    <row r="309" spans="1:11" x14ac:dyDescent="0.2">
      <c r="A309" s="15" t="s">
        <v>4</v>
      </c>
      <c r="B309" s="14" t="s">
        <v>5</v>
      </c>
      <c r="C309" s="14" t="s">
        <v>6</v>
      </c>
      <c r="D309" s="14" t="s">
        <v>7</v>
      </c>
      <c r="E309" s="14" t="s">
        <v>8</v>
      </c>
      <c r="F309" s="12"/>
      <c r="G309" s="15" t="s">
        <v>4</v>
      </c>
      <c r="H309" s="14" t="s">
        <v>5</v>
      </c>
      <c r="I309" s="14" t="s">
        <v>6</v>
      </c>
      <c r="J309" s="14" t="s">
        <v>7</v>
      </c>
      <c r="K309" s="14" t="s">
        <v>8</v>
      </c>
    </row>
    <row r="310" spans="1:11" x14ac:dyDescent="0.2">
      <c r="A310" s="15" t="s">
        <v>9</v>
      </c>
      <c r="B310" s="14" t="s">
        <v>10</v>
      </c>
      <c r="C310" s="14" t="s">
        <v>11</v>
      </c>
      <c r="D310" s="14" t="s">
        <v>12</v>
      </c>
      <c r="E310" s="14" t="s">
        <v>13</v>
      </c>
      <c r="F310" s="12"/>
      <c r="G310" s="15" t="s">
        <v>9</v>
      </c>
      <c r="H310" s="14" t="s">
        <v>10</v>
      </c>
      <c r="I310" s="14" t="s">
        <v>11</v>
      </c>
      <c r="J310" s="14" t="s">
        <v>12</v>
      </c>
      <c r="K310" s="14" t="s">
        <v>13</v>
      </c>
    </row>
    <row r="312" spans="1:11" x14ac:dyDescent="0.2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</row>
    <row r="313" spans="1:11" s="13" customFormat="1" x14ac:dyDescent="0.2">
      <c r="A313" s="26" t="s">
        <v>27</v>
      </c>
      <c r="B313" s="26">
        <f>SUM(B315:B324)</f>
        <v>53</v>
      </c>
      <c r="C313" s="26">
        <f>SUM(C315:C324)</f>
        <v>50542</v>
      </c>
      <c r="D313" s="27">
        <f>SUM(D315:D324)</f>
        <v>527595676</v>
      </c>
      <c r="E313" s="27">
        <f>10601/3</f>
        <v>3533.6666666666665</v>
      </c>
      <c r="F313" s="26"/>
      <c r="G313" s="26" t="s">
        <v>27</v>
      </c>
      <c r="H313" s="26">
        <f>SUM(H315:H325)</f>
        <v>2725</v>
      </c>
      <c r="I313" s="26">
        <f>SUM(I315:I325)</f>
        <v>130694</v>
      </c>
      <c r="J313" s="27">
        <f>SUM(J315:J324)</f>
        <v>1161199832</v>
      </c>
      <c r="K313" s="27">
        <f>8924/3</f>
        <v>2974.6666666666665</v>
      </c>
    </row>
    <row r="314" spans="1:11" x14ac:dyDescent="0.2">
      <c r="A314" s="29" t="s">
        <v>28</v>
      </c>
      <c r="B314" s="29"/>
      <c r="C314" s="29"/>
      <c r="D314" s="29"/>
      <c r="E314" s="29"/>
      <c r="F314" s="29"/>
      <c r="G314" s="29" t="s">
        <v>28</v>
      </c>
      <c r="H314" s="29"/>
      <c r="I314" s="29"/>
      <c r="J314" s="29"/>
      <c r="K314" s="29"/>
    </row>
    <row r="315" spans="1:11" x14ac:dyDescent="0.2">
      <c r="A315" s="34">
        <v>0</v>
      </c>
      <c r="B315" s="29">
        <v>4</v>
      </c>
      <c r="C315" s="29">
        <v>0</v>
      </c>
      <c r="D315" s="31">
        <v>150</v>
      </c>
      <c r="E315" s="29">
        <f>450/3</f>
        <v>150</v>
      </c>
      <c r="F315" s="29"/>
      <c r="G315" s="29" t="s">
        <v>15</v>
      </c>
      <c r="H315" s="29">
        <v>40</v>
      </c>
      <c r="I315" s="29">
        <v>0</v>
      </c>
      <c r="J315" s="29">
        <v>15507</v>
      </c>
      <c r="K315" s="29">
        <f>6646/3</f>
        <v>2215.3333333333335</v>
      </c>
    </row>
    <row r="316" spans="1:11" x14ac:dyDescent="0.2">
      <c r="A316" s="30" t="s">
        <v>16</v>
      </c>
      <c r="B316" s="29">
        <v>5</v>
      </c>
      <c r="C316" s="29">
        <v>10</v>
      </c>
      <c r="D316" s="29">
        <v>126754</v>
      </c>
      <c r="E316" s="29">
        <f>12675/3</f>
        <v>4225</v>
      </c>
      <c r="F316" s="29"/>
      <c r="G316" s="29" t="s">
        <v>16</v>
      </c>
      <c r="H316" s="29">
        <v>415</v>
      </c>
      <c r="I316" s="29">
        <v>1018</v>
      </c>
      <c r="J316" s="29">
        <v>9128561</v>
      </c>
      <c r="K316" s="29">
        <f>8837/3</f>
        <v>2945.6666666666665</v>
      </c>
    </row>
    <row r="317" spans="1:11" x14ac:dyDescent="0.2">
      <c r="A317" s="29" t="s">
        <v>17</v>
      </c>
      <c r="B317" s="29">
        <v>1</v>
      </c>
      <c r="C317" s="29">
        <v>9</v>
      </c>
      <c r="D317" s="29">
        <v>64222</v>
      </c>
      <c r="E317" s="36">
        <f>7410/3</f>
        <v>2470</v>
      </c>
      <c r="F317" s="29"/>
      <c r="G317" s="29" t="s">
        <v>17</v>
      </c>
      <c r="H317" s="29">
        <v>458</v>
      </c>
      <c r="I317" s="29">
        <v>3009</v>
      </c>
      <c r="J317" s="29">
        <v>23007626</v>
      </c>
      <c r="K317" s="29">
        <f>7618/3</f>
        <v>2539.3333333333335</v>
      </c>
    </row>
    <row r="318" spans="1:11" x14ac:dyDescent="0.2">
      <c r="A318" s="30" t="s">
        <v>56</v>
      </c>
      <c r="B318" s="29">
        <v>5</v>
      </c>
      <c r="C318" s="29">
        <v>56</v>
      </c>
      <c r="D318" s="29">
        <v>505987</v>
      </c>
      <c r="E318" s="29">
        <f>9256/3</f>
        <v>3085.3333333333335</v>
      </c>
      <c r="F318" s="29"/>
      <c r="G318" s="30" t="s">
        <v>56</v>
      </c>
      <c r="H318" s="29">
        <v>381</v>
      </c>
      <c r="I318" s="29">
        <v>5256</v>
      </c>
      <c r="J318" s="29">
        <v>50254825</v>
      </c>
      <c r="K318" s="29">
        <f>9704/3</f>
        <v>3234.6666666666665</v>
      </c>
    </row>
    <row r="319" spans="1:11" x14ac:dyDescent="0.2">
      <c r="A319" s="29" t="s">
        <v>18</v>
      </c>
      <c r="B319" s="29">
        <v>2</v>
      </c>
      <c r="C319" s="29">
        <v>74</v>
      </c>
      <c r="D319" s="29">
        <v>481896</v>
      </c>
      <c r="E319" s="29">
        <f>6851/3</f>
        <v>2283.6666666666665</v>
      </c>
      <c r="F319" s="29"/>
      <c r="G319" s="29" t="s">
        <v>18</v>
      </c>
      <c r="H319" s="29">
        <v>501</v>
      </c>
      <c r="I319" s="29">
        <v>16733</v>
      </c>
      <c r="J319" s="29">
        <v>157696400</v>
      </c>
      <c r="K319" s="29">
        <f>9404/3</f>
        <v>3134.6666666666665</v>
      </c>
    </row>
    <row r="320" spans="1:11" x14ac:dyDescent="0.2">
      <c r="A320" s="29" t="s">
        <v>19</v>
      </c>
      <c r="B320" s="29">
        <v>9</v>
      </c>
      <c r="C320" s="29">
        <v>607</v>
      </c>
      <c r="D320" s="29">
        <v>4336842</v>
      </c>
      <c r="E320" s="29">
        <f>7260/3</f>
        <v>2420</v>
      </c>
      <c r="F320" s="29"/>
      <c r="G320" s="29" t="s">
        <v>19</v>
      </c>
      <c r="H320" s="29">
        <v>652</v>
      </c>
      <c r="I320" s="29">
        <v>45212</v>
      </c>
      <c r="J320" s="29">
        <v>393633174</v>
      </c>
      <c r="K320" s="29">
        <f>8728/3</f>
        <v>2909.3333333333335</v>
      </c>
    </row>
    <row r="321" spans="1:11" x14ac:dyDescent="0.2">
      <c r="A321" s="29" t="s">
        <v>20</v>
      </c>
      <c r="B321" s="29">
        <v>6</v>
      </c>
      <c r="C321" s="29">
        <v>964</v>
      </c>
      <c r="D321" s="29">
        <v>5506778</v>
      </c>
      <c r="E321" s="29">
        <f>5862/3</f>
        <v>1954</v>
      </c>
      <c r="F321" s="29"/>
      <c r="G321" s="29" t="s">
        <v>20</v>
      </c>
      <c r="H321" s="29">
        <v>230</v>
      </c>
      <c r="I321" s="29">
        <v>33546</v>
      </c>
      <c r="J321" s="29">
        <v>305389708</v>
      </c>
      <c r="K321" s="29">
        <f>9135/3</f>
        <v>3045</v>
      </c>
    </row>
    <row r="322" spans="1:11" x14ac:dyDescent="0.2">
      <c r="A322" s="29" t="s">
        <v>21</v>
      </c>
      <c r="B322" s="29">
        <v>5</v>
      </c>
      <c r="C322" s="29">
        <v>1630</v>
      </c>
      <c r="D322" s="29">
        <v>10702502</v>
      </c>
      <c r="E322" s="29">
        <f>6728/3</f>
        <v>2242.6666666666665</v>
      </c>
      <c r="F322" s="29"/>
      <c r="G322" s="29" t="s">
        <v>21</v>
      </c>
      <c r="H322" s="29">
        <v>37</v>
      </c>
      <c r="I322" s="29">
        <v>12186</v>
      </c>
      <c r="J322" s="29">
        <v>108255027</v>
      </c>
      <c r="K322" s="29">
        <f>8954/3</f>
        <v>2984.6666666666665</v>
      </c>
    </row>
    <row r="323" spans="1:11" x14ac:dyDescent="0.2">
      <c r="A323" s="29" t="s">
        <v>23</v>
      </c>
      <c r="B323" s="29">
        <v>4</v>
      </c>
      <c r="C323" s="29">
        <v>2300</v>
      </c>
      <c r="D323" s="29">
        <v>9739891</v>
      </c>
      <c r="E323" s="29">
        <f>4294/3</f>
        <v>1431.3333333333333</v>
      </c>
      <c r="F323" s="29"/>
      <c r="G323" s="29" t="s">
        <v>23</v>
      </c>
      <c r="H323" s="29">
        <v>9</v>
      </c>
      <c r="I323" s="29">
        <v>6640</v>
      </c>
      <c r="J323" s="29">
        <v>56868151</v>
      </c>
      <c r="K323" s="29">
        <f>8716/3</f>
        <v>2905.3333333333335</v>
      </c>
    </row>
    <row r="324" spans="1:11" x14ac:dyDescent="0.2">
      <c r="A324" s="29" t="s">
        <v>24</v>
      </c>
      <c r="B324" s="29">
        <v>12</v>
      </c>
      <c r="C324" s="29">
        <v>44892</v>
      </c>
      <c r="D324" s="29">
        <v>496130654</v>
      </c>
      <c r="E324" s="29">
        <f>11217/3</f>
        <v>3739</v>
      </c>
      <c r="F324" s="29"/>
      <c r="G324" s="29" t="s">
        <v>24</v>
      </c>
      <c r="H324" s="29">
        <v>2</v>
      </c>
      <c r="I324" s="29">
        <v>7094</v>
      </c>
      <c r="J324" s="29">
        <v>56950853</v>
      </c>
      <c r="K324" s="29">
        <f>8179/3</f>
        <v>2726.3333333333335</v>
      </c>
    </row>
    <row r="325" spans="1:11" x14ac:dyDescent="0.2">
      <c r="A325" s="25"/>
      <c r="B325" s="25"/>
      <c r="C325" s="25"/>
      <c r="D325" s="25"/>
      <c r="E325" s="25" t="s">
        <v>28</v>
      </c>
      <c r="F325" s="25"/>
      <c r="G325" s="25"/>
      <c r="H325" s="25"/>
      <c r="I325" s="25"/>
      <c r="J325" s="25"/>
      <c r="K325" s="25"/>
    </row>
    <row r="328" spans="1:11" x14ac:dyDescent="0.2">
      <c r="A328" s="40" t="s">
        <v>51</v>
      </c>
      <c r="B328" s="40"/>
      <c r="C328" s="40"/>
      <c r="D328" s="40"/>
      <c r="E328" s="40"/>
      <c r="F328" s="12"/>
      <c r="G328" s="40" t="s">
        <v>52</v>
      </c>
      <c r="H328" s="40"/>
      <c r="I328" s="40"/>
      <c r="J328" s="40"/>
      <c r="K328" s="40"/>
    </row>
    <row r="329" spans="1:11" x14ac:dyDescent="0.2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</row>
    <row r="330" spans="1:11" x14ac:dyDescent="0.2">
      <c r="A330" s="14"/>
      <c r="B330" s="14"/>
      <c r="C330" s="14"/>
      <c r="D330" s="14" t="s">
        <v>2</v>
      </c>
      <c r="E330" s="14" t="s">
        <v>3</v>
      </c>
      <c r="F330" s="12"/>
      <c r="G330" s="14"/>
      <c r="H330" s="14"/>
      <c r="I330" s="14"/>
      <c r="J330" s="14" t="s">
        <v>2</v>
      </c>
      <c r="K330" s="14" t="s">
        <v>3</v>
      </c>
    </row>
    <row r="331" spans="1:11" x14ac:dyDescent="0.2">
      <c r="A331" s="15" t="s">
        <v>4</v>
      </c>
      <c r="B331" s="14" t="s">
        <v>5</v>
      </c>
      <c r="C331" s="14" t="s">
        <v>6</v>
      </c>
      <c r="D331" s="14" t="s">
        <v>7</v>
      </c>
      <c r="E331" s="14" t="s">
        <v>8</v>
      </c>
      <c r="F331" s="12"/>
      <c r="G331" s="15" t="s">
        <v>4</v>
      </c>
      <c r="H331" s="14" t="s">
        <v>5</v>
      </c>
      <c r="I331" s="14" t="s">
        <v>6</v>
      </c>
      <c r="J331" s="14" t="s">
        <v>7</v>
      </c>
      <c r="K331" s="14" t="s">
        <v>8</v>
      </c>
    </row>
    <row r="332" spans="1:11" x14ac:dyDescent="0.2">
      <c r="A332" s="15" t="s">
        <v>9</v>
      </c>
      <c r="B332" s="14" t="s">
        <v>10</v>
      </c>
      <c r="C332" s="14" t="s">
        <v>11</v>
      </c>
      <c r="D332" s="14" t="s">
        <v>12</v>
      </c>
      <c r="E332" s="14" t="s">
        <v>13</v>
      </c>
      <c r="F332" s="12"/>
      <c r="G332" s="15" t="s">
        <v>9</v>
      </c>
      <c r="H332" s="14" t="s">
        <v>10</v>
      </c>
      <c r="I332" s="14" t="s">
        <v>11</v>
      </c>
      <c r="J332" s="14" t="s">
        <v>12</v>
      </c>
      <c r="K332" s="14" t="s">
        <v>13</v>
      </c>
    </row>
    <row r="334" spans="1:11" x14ac:dyDescent="0.2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</row>
    <row r="335" spans="1:11" s="13" customFormat="1" x14ac:dyDescent="0.2">
      <c r="A335" s="26" t="s">
        <v>27</v>
      </c>
      <c r="B335" s="26">
        <f>SUM(B337:B346)</f>
        <v>1034</v>
      </c>
      <c r="C335" s="26">
        <f>SUM(C337:C346)</f>
        <v>75404</v>
      </c>
      <c r="D335" s="27">
        <f>SUM(D337:D346)</f>
        <v>626709974</v>
      </c>
      <c r="E335" s="27">
        <f>8359/3</f>
        <v>2786.3333333333335</v>
      </c>
      <c r="F335" s="26"/>
      <c r="G335" s="26" t="s">
        <v>27</v>
      </c>
      <c r="H335" s="26">
        <f>SUM(H337:H346)</f>
        <v>95614</v>
      </c>
      <c r="I335" s="26">
        <f>SUM(I337:I346)</f>
        <v>1251470</v>
      </c>
      <c r="J335" s="27">
        <f>SUM(J337:J346)</f>
        <v>15316674630</v>
      </c>
      <c r="K335" s="27">
        <f>12321/3</f>
        <v>4107</v>
      </c>
    </row>
    <row r="336" spans="1:11" x14ac:dyDescent="0.2">
      <c r="A336" s="29" t="s">
        <v>28</v>
      </c>
      <c r="B336" s="29"/>
      <c r="C336" s="29"/>
      <c r="D336" s="29"/>
      <c r="E336" s="29"/>
      <c r="F336" s="29"/>
      <c r="G336" s="29" t="s">
        <v>28</v>
      </c>
      <c r="H336" s="29"/>
      <c r="I336" s="29"/>
      <c r="J336" s="29"/>
      <c r="K336" s="29"/>
    </row>
    <row r="337" spans="1:11" x14ac:dyDescent="0.2">
      <c r="A337" s="34">
        <v>0</v>
      </c>
      <c r="B337" s="29">
        <v>6</v>
      </c>
      <c r="C337" s="29">
        <v>0</v>
      </c>
      <c r="D337" s="29">
        <v>0</v>
      </c>
      <c r="E337" s="29">
        <f>0/3</f>
        <v>0</v>
      </c>
      <c r="F337" s="29"/>
      <c r="G337" s="29" t="s">
        <v>15</v>
      </c>
      <c r="H337" s="29">
        <v>12295</v>
      </c>
      <c r="I337" s="29">
        <v>0</v>
      </c>
      <c r="J337" s="29">
        <v>66311728</v>
      </c>
      <c r="K337" s="29">
        <f>12500/3</f>
        <v>4166.666666666667</v>
      </c>
    </row>
    <row r="338" spans="1:11" x14ac:dyDescent="0.2">
      <c r="A338" s="30" t="s">
        <v>16</v>
      </c>
      <c r="B338" s="29">
        <v>30</v>
      </c>
      <c r="C338" s="29">
        <v>70</v>
      </c>
      <c r="D338" s="29">
        <v>568768</v>
      </c>
      <c r="E338" s="29">
        <f>7791/3</f>
        <v>2597</v>
      </c>
      <c r="F338" s="29"/>
      <c r="G338" s="29" t="s">
        <v>16</v>
      </c>
      <c r="H338" s="29">
        <v>45888</v>
      </c>
      <c r="I338" s="29">
        <v>83480</v>
      </c>
      <c r="J338" s="29">
        <v>1075896062</v>
      </c>
      <c r="K338" s="29">
        <f>13056/3</f>
        <v>4352</v>
      </c>
    </row>
    <row r="339" spans="1:11" x14ac:dyDescent="0.2">
      <c r="A339" s="29" t="s">
        <v>17</v>
      </c>
      <c r="B339" s="29">
        <v>49</v>
      </c>
      <c r="C339" s="29">
        <v>301</v>
      </c>
      <c r="D339" s="29">
        <v>1689471</v>
      </c>
      <c r="E339" s="29">
        <f>5588/3</f>
        <v>1862.6666666666667</v>
      </c>
      <c r="F339" s="29"/>
      <c r="G339" s="29" t="s">
        <v>17</v>
      </c>
      <c r="H339" s="29">
        <v>14533</v>
      </c>
      <c r="I339" s="29">
        <v>96823</v>
      </c>
      <c r="J339" s="29">
        <v>964061866</v>
      </c>
      <c r="K339" s="29">
        <f>10124/3</f>
        <v>3374.6666666666665</v>
      </c>
    </row>
    <row r="340" spans="1:11" x14ac:dyDescent="0.2">
      <c r="A340" s="30" t="s">
        <v>56</v>
      </c>
      <c r="B340" s="29">
        <v>56</v>
      </c>
      <c r="C340" s="29">
        <v>806</v>
      </c>
      <c r="D340" s="29">
        <v>6947987</v>
      </c>
      <c r="E340" s="29">
        <f>8678/3</f>
        <v>2892.6666666666665</v>
      </c>
      <c r="F340" s="29"/>
      <c r="G340" s="30" t="s">
        <v>56</v>
      </c>
      <c r="H340" s="29">
        <v>10912</v>
      </c>
      <c r="I340" s="29">
        <v>147872</v>
      </c>
      <c r="J340" s="29">
        <v>1418567346</v>
      </c>
      <c r="K340" s="29">
        <f>9735/3</f>
        <v>3245</v>
      </c>
    </row>
    <row r="341" spans="1:11" x14ac:dyDescent="0.2">
      <c r="A341" s="29" t="s">
        <v>18</v>
      </c>
      <c r="B341" s="29">
        <v>197</v>
      </c>
      <c r="C341" s="29">
        <v>7246</v>
      </c>
      <c r="D341" s="29">
        <v>63210863</v>
      </c>
      <c r="E341" s="29">
        <f>8711/3</f>
        <v>2903.6666666666665</v>
      </c>
      <c r="F341" s="29"/>
      <c r="G341" s="29" t="s">
        <v>18</v>
      </c>
      <c r="H341" s="29">
        <v>7774</v>
      </c>
      <c r="I341" s="29">
        <v>233424</v>
      </c>
      <c r="J341" s="29">
        <v>2411188990</v>
      </c>
      <c r="K341" s="29">
        <f>10460/3</f>
        <v>3486.6666666666665</v>
      </c>
    </row>
    <row r="342" spans="1:11" x14ac:dyDescent="0.2">
      <c r="A342" s="29" t="s">
        <v>19</v>
      </c>
      <c r="B342" s="29">
        <v>521</v>
      </c>
      <c r="C342" s="29">
        <v>36204</v>
      </c>
      <c r="D342" s="29">
        <v>302456636</v>
      </c>
      <c r="E342" s="29">
        <f>8382/3</f>
        <v>2794</v>
      </c>
      <c r="F342" s="29"/>
      <c r="G342" s="29" t="s">
        <v>19</v>
      </c>
      <c r="H342" s="29">
        <v>2395</v>
      </c>
      <c r="I342" s="29">
        <v>164456</v>
      </c>
      <c r="J342" s="29">
        <v>1969021436</v>
      </c>
      <c r="K342" s="29">
        <f>12119/3</f>
        <v>4039.6666666666665</v>
      </c>
    </row>
    <row r="343" spans="1:11" x14ac:dyDescent="0.2">
      <c r="A343" s="29" t="s">
        <v>20</v>
      </c>
      <c r="B343" s="29">
        <v>156</v>
      </c>
      <c r="C343" s="29">
        <v>21960</v>
      </c>
      <c r="D343" s="29">
        <v>192826243</v>
      </c>
      <c r="E343" s="29">
        <f>8787/3</f>
        <v>2929</v>
      </c>
      <c r="F343" s="29"/>
      <c r="G343" s="29" t="s">
        <v>20</v>
      </c>
      <c r="H343" s="29">
        <v>1296</v>
      </c>
      <c r="I343" s="29">
        <v>193363</v>
      </c>
      <c r="J343" s="29">
        <v>2430072950</v>
      </c>
      <c r="K343" s="29">
        <f>12698/3</f>
        <v>4232.666666666667</v>
      </c>
    </row>
    <row r="344" spans="1:11" x14ac:dyDescent="0.2">
      <c r="A344" s="29" t="s">
        <v>21</v>
      </c>
      <c r="B344" s="29">
        <v>14</v>
      </c>
      <c r="C344" s="29">
        <v>4525</v>
      </c>
      <c r="D344" s="29">
        <v>35196357</v>
      </c>
      <c r="E344" s="29">
        <f>7860/3</f>
        <v>2620</v>
      </c>
      <c r="F344" s="29"/>
      <c r="G344" s="29" t="s">
        <v>21</v>
      </c>
      <c r="H344" s="29">
        <v>323</v>
      </c>
      <c r="I344" s="29">
        <v>109990</v>
      </c>
      <c r="J344" s="29">
        <v>1572458457</v>
      </c>
      <c r="K344" s="29">
        <f>14463/3</f>
        <v>4821</v>
      </c>
    </row>
    <row r="345" spans="1:11" x14ac:dyDescent="0.2">
      <c r="A345" s="29" t="s">
        <v>23</v>
      </c>
      <c r="B345" s="29">
        <v>4</v>
      </c>
      <c r="C345" s="29">
        <v>3223</v>
      </c>
      <c r="D345" s="29">
        <v>17270484</v>
      </c>
      <c r="E345" s="29">
        <f>5554/3</f>
        <v>1851.3333333333333</v>
      </c>
      <c r="F345" s="29"/>
      <c r="G345" s="29" t="s">
        <v>23</v>
      </c>
      <c r="H345" s="29">
        <v>134</v>
      </c>
      <c r="I345" s="29">
        <v>89488</v>
      </c>
      <c r="J345" s="29">
        <v>1403378032</v>
      </c>
      <c r="K345" s="29">
        <f>15715/3</f>
        <v>5238.333333333333</v>
      </c>
    </row>
    <row r="346" spans="1:11" x14ac:dyDescent="0.2">
      <c r="A346" s="29" t="s">
        <v>24</v>
      </c>
      <c r="B346" s="29">
        <v>1</v>
      </c>
      <c r="C346" s="29">
        <v>1069</v>
      </c>
      <c r="D346" s="29">
        <v>6543165</v>
      </c>
      <c r="E346" s="29">
        <f>7061/3</f>
        <v>2353.6666666666665</v>
      </c>
      <c r="F346" s="29"/>
      <c r="G346" s="29" t="s">
        <v>24</v>
      </c>
      <c r="H346" s="29">
        <v>64</v>
      </c>
      <c r="I346" s="29">
        <v>132574</v>
      </c>
      <c r="J346" s="29">
        <v>2005717763</v>
      </c>
      <c r="K346" s="29">
        <f>15179/3</f>
        <v>5059.666666666667</v>
      </c>
    </row>
    <row r="347" spans="1:11" x14ac:dyDescent="0.2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 t="s">
        <v>60</v>
      </c>
    </row>
    <row r="349" spans="1:11" x14ac:dyDescent="0.2">
      <c r="A349" s="38" t="s">
        <v>63</v>
      </c>
      <c r="B349" s="39"/>
      <c r="C349" s="39"/>
      <c r="D349" s="39"/>
      <c r="E349" s="39"/>
      <c r="F349" s="39"/>
      <c r="G349" s="39"/>
      <c r="H349" s="39"/>
      <c r="I349" s="39"/>
    </row>
    <row r="351" spans="1:11" x14ac:dyDescent="0.2">
      <c r="B351" s="29"/>
      <c r="C351" s="29"/>
      <c r="D351" s="29"/>
      <c r="E351" s="29"/>
    </row>
    <row r="352" spans="1:11" x14ac:dyDescent="0.2">
      <c r="B352" s="29"/>
      <c r="C352" s="29"/>
      <c r="D352" s="29"/>
      <c r="E352" s="29"/>
    </row>
    <row r="353" spans="2:5" x14ac:dyDescent="0.2">
      <c r="B353" s="29"/>
      <c r="C353" s="29"/>
      <c r="D353" s="29"/>
      <c r="E353" s="29"/>
    </row>
    <row r="354" spans="2:5" x14ac:dyDescent="0.2">
      <c r="B354" s="29"/>
      <c r="C354" s="29"/>
      <c r="D354" s="29"/>
      <c r="E354" s="29"/>
    </row>
    <row r="355" spans="2:5" x14ac:dyDescent="0.2">
      <c r="B355" s="29"/>
      <c r="C355" s="29"/>
      <c r="D355" s="29"/>
      <c r="E355" s="29"/>
    </row>
    <row r="356" spans="2:5" x14ac:dyDescent="0.2">
      <c r="B356" s="29"/>
      <c r="C356" s="29"/>
      <c r="D356" s="29"/>
      <c r="E356" s="29"/>
    </row>
    <row r="357" spans="2:5" x14ac:dyDescent="0.2">
      <c r="B357" s="29"/>
      <c r="C357" s="29"/>
      <c r="D357" s="29"/>
      <c r="E357" s="29"/>
    </row>
    <row r="358" spans="2:5" x14ac:dyDescent="0.2">
      <c r="B358" s="29"/>
      <c r="C358" s="29"/>
      <c r="D358" s="29"/>
      <c r="E358" s="29"/>
    </row>
    <row r="359" spans="2:5" x14ac:dyDescent="0.2">
      <c r="B359" s="29"/>
      <c r="C359" s="29"/>
      <c r="D359" s="29"/>
      <c r="E359" s="29"/>
    </row>
    <row r="360" spans="2:5" x14ac:dyDescent="0.2">
      <c r="B360" s="29"/>
      <c r="C360" s="29"/>
      <c r="D360" s="29"/>
      <c r="E360" s="29"/>
    </row>
    <row r="362" spans="2:5" x14ac:dyDescent="0.2">
      <c r="B362" s="29"/>
      <c r="C362" s="29"/>
      <c r="D362" s="31"/>
      <c r="E362" s="29"/>
    </row>
    <row r="363" spans="2:5" x14ac:dyDescent="0.2">
      <c r="B363" s="29"/>
      <c r="C363" s="29"/>
      <c r="D363" s="29"/>
      <c r="E363" s="29"/>
    </row>
    <row r="364" spans="2:5" x14ac:dyDescent="0.2">
      <c r="B364" s="29"/>
      <c r="C364" s="29"/>
      <c r="D364" s="29"/>
      <c r="E364" s="36"/>
    </row>
    <row r="365" spans="2:5" x14ac:dyDescent="0.2">
      <c r="B365" s="29"/>
      <c r="C365" s="29"/>
      <c r="D365" s="29"/>
      <c r="E365" s="29"/>
    </row>
    <row r="366" spans="2:5" x14ac:dyDescent="0.2">
      <c r="B366" s="29"/>
      <c r="C366" s="29"/>
      <c r="D366" s="29"/>
      <c r="E366" s="29"/>
    </row>
    <row r="367" spans="2:5" x14ac:dyDescent="0.2">
      <c r="B367" s="29"/>
      <c r="C367" s="29"/>
      <c r="D367" s="29"/>
      <c r="E367" s="29"/>
    </row>
    <row r="368" spans="2:5" x14ac:dyDescent="0.2">
      <c r="B368" s="29"/>
      <c r="C368" s="29"/>
      <c r="D368" s="29"/>
      <c r="E368" s="29"/>
    </row>
    <row r="369" spans="2:5" x14ac:dyDescent="0.2">
      <c r="B369" s="29"/>
      <c r="C369" s="29"/>
      <c r="D369" s="29"/>
      <c r="E369" s="29"/>
    </row>
    <row r="370" spans="2:5" x14ac:dyDescent="0.2">
      <c r="B370" s="29"/>
      <c r="C370" s="29"/>
      <c r="D370" s="29"/>
      <c r="E370" s="29"/>
    </row>
    <row r="372" spans="2:5" x14ac:dyDescent="0.2">
      <c r="B372" s="29"/>
      <c r="C372" s="29"/>
      <c r="D372" s="29"/>
      <c r="E372" s="29"/>
    </row>
    <row r="373" spans="2:5" x14ac:dyDescent="0.2">
      <c r="B373" s="29"/>
      <c r="C373" s="29"/>
      <c r="D373" s="29"/>
      <c r="E373" s="29"/>
    </row>
    <row r="374" spans="2:5" x14ac:dyDescent="0.2">
      <c r="B374" s="29"/>
      <c r="C374" s="29"/>
      <c r="D374" s="29"/>
      <c r="E374" s="29"/>
    </row>
    <row r="375" spans="2:5" x14ac:dyDescent="0.2">
      <c r="B375" s="29"/>
      <c r="C375" s="29"/>
      <c r="D375" s="29"/>
      <c r="E375" s="29"/>
    </row>
    <row r="376" spans="2:5" x14ac:dyDescent="0.2">
      <c r="B376" s="29"/>
      <c r="C376" s="29"/>
      <c r="D376" s="29"/>
      <c r="E376" s="29"/>
    </row>
    <row r="377" spans="2:5" x14ac:dyDescent="0.2">
      <c r="B377" s="29"/>
      <c r="C377" s="29"/>
      <c r="D377" s="29"/>
      <c r="E377" s="29"/>
    </row>
    <row r="378" spans="2:5" x14ac:dyDescent="0.2">
      <c r="B378" s="29"/>
      <c r="C378" s="29"/>
      <c r="D378" s="29"/>
      <c r="E378" s="29"/>
    </row>
    <row r="379" spans="2:5" x14ac:dyDescent="0.2">
      <c r="B379" s="29"/>
      <c r="C379" s="29"/>
      <c r="D379" s="29"/>
      <c r="E379" s="29"/>
    </row>
    <row r="380" spans="2:5" x14ac:dyDescent="0.2">
      <c r="B380" s="29"/>
      <c r="C380" s="29"/>
      <c r="D380" s="29"/>
      <c r="E380" s="29"/>
    </row>
    <row r="385" spans="11:11" x14ac:dyDescent="0.2">
      <c r="K385" s="1"/>
    </row>
    <row r="461" spans="5:5" x14ac:dyDescent="0.2">
      <c r="E461" s="1"/>
    </row>
    <row r="482" spans="5:5" x14ac:dyDescent="0.2">
      <c r="E482" s="1"/>
    </row>
    <row r="581" spans="11:11" x14ac:dyDescent="0.2">
      <c r="K581" s="2"/>
    </row>
    <row r="657" spans="11:11" x14ac:dyDescent="0.2">
      <c r="K657" s="1"/>
    </row>
    <row r="709" spans="5:5" x14ac:dyDescent="0.2">
      <c r="E709" s="1"/>
    </row>
    <row r="731" spans="5:11" x14ac:dyDescent="0.2">
      <c r="E731" s="1"/>
      <c r="K731" s="1"/>
    </row>
    <row r="760" spans="5:5" x14ac:dyDescent="0.2">
      <c r="E760" s="1"/>
    </row>
    <row r="782" spans="5:11" x14ac:dyDescent="0.2">
      <c r="E782" s="1"/>
      <c r="K782" s="1"/>
    </row>
  </sheetData>
  <mergeCells count="61">
    <mergeCell ref="G7:K7"/>
    <mergeCell ref="A304:K304"/>
    <mergeCell ref="G306:K306"/>
    <mergeCell ref="A4:K4"/>
    <mergeCell ref="A5:K5"/>
    <mergeCell ref="A178:E178"/>
    <mergeCell ref="A57:K57"/>
    <mergeCell ref="A105:K105"/>
    <mergeCell ref="A106:K106"/>
    <mergeCell ref="A155:K155"/>
    <mergeCell ref="A156:K156"/>
    <mergeCell ref="A80:E80"/>
    <mergeCell ref="G80:K80"/>
    <mergeCell ref="G107:K107"/>
    <mergeCell ref="A128:E128"/>
    <mergeCell ref="G128:K128"/>
    <mergeCell ref="A7:E7"/>
    <mergeCell ref="A101:I101"/>
    <mergeCell ref="A100:I100"/>
    <mergeCell ref="A328:E328"/>
    <mergeCell ref="G328:K328"/>
    <mergeCell ref="A227:E227"/>
    <mergeCell ref="G227:K227"/>
    <mergeCell ref="A255:E255"/>
    <mergeCell ref="G255:K255"/>
    <mergeCell ref="A277:E277"/>
    <mergeCell ref="G277:K277"/>
    <mergeCell ref="D302:H302"/>
    <mergeCell ref="A305:K305"/>
    <mergeCell ref="A252:K252"/>
    <mergeCell ref="A303:K303"/>
    <mergeCell ref="A253:K253"/>
    <mergeCell ref="A254:K254"/>
    <mergeCell ref="A204:K204"/>
    <mergeCell ref="A205:K205"/>
    <mergeCell ref="A104:K104"/>
    <mergeCell ref="A154:K154"/>
    <mergeCell ref="A203:K203"/>
    <mergeCell ref="A29:E29"/>
    <mergeCell ref="G29:K29"/>
    <mergeCell ref="A59:E59"/>
    <mergeCell ref="G59:K59"/>
    <mergeCell ref="D54:H54"/>
    <mergeCell ref="A50:I50"/>
    <mergeCell ref="A56:K56"/>
    <mergeCell ref="A349:I349"/>
    <mergeCell ref="D103:H103"/>
    <mergeCell ref="D153:H153"/>
    <mergeCell ref="D202:H202"/>
    <mergeCell ref="D251:H251"/>
    <mergeCell ref="A107:E107"/>
    <mergeCell ref="A148:I148"/>
    <mergeCell ref="A198:I198"/>
    <mergeCell ref="A247:I247"/>
    <mergeCell ref="A297:I297"/>
    <mergeCell ref="A157:E157"/>
    <mergeCell ref="G157:K157"/>
    <mergeCell ref="G178:K178"/>
    <mergeCell ref="A206:E206"/>
    <mergeCell ref="G206:K206"/>
    <mergeCell ref="A306:E306"/>
  </mergeCells>
  <phoneticPr fontId="0" type="noConversion"/>
  <pageMargins left="0.75" right="0.75" top="0.55000000000000004" bottom="0.49" header="0.5" footer="0.5"/>
  <pageSetup scale="80" fitToWidth="7" orientation="landscape" r:id="rId1"/>
  <headerFooter alignWithMargins="0"/>
  <rowBreaks count="6" manualBreakCount="6">
    <brk id="52" max="16383" man="1"/>
    <brk id="100" max="16383" man="1"/>
    <brk id="149" max="16383" man="1"/>
    <brk id="198" max="16383" man="1"/>
    <brk id="247" max="16383" man="1"/>
    <brk id="2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5"/>
  <sheetViews>
    <sheetView workbookViewId="0">
      <selection activeCell="D1" sqref="D1:D1048576"/>
    </sheetView>
  </sheetViews>
  <sheetFormatPr defaultRowHeight="12.75" x14ac:dyDescent="0.2"/>
  <cols>
    <col min="3" max="3" width="9.140625" style="51"/>
    <col min="4" max="4" width="9.140625" style="48"/>
    <col min="8" max="8" width="14.85546875" bestFit="1" customWidth="1"/>
  </cols>
  <sheetData>
    <row r="4" spans="1:8" x14ac:dyDescent="0.2">
      <c r="A4" s="13" t="s">
        <v>14</v>
      </c>
      <c r="B4" s="13">
        <v>99869</v>
      </c>
      <c r="C4" s="50"/>
      <c r="D4" s="53"/>
      <c r="E4" s="13">
        <v>1501323</v>
      </c>
      <c r="F4" s="13"/>
      <c r="G4" s="13"/>
      <c r="H4" s="37">
        <v>18023341309</v>
      </c>
    </row>
    <row r="6" spans="1:8" x14ac:dyDescent="0.2">
      <c r="A6" t="s">
        <v>15</v>
      </c>
      <c r="B6">
        <v>12371</v>
      </c>
      <c r="C6" s="52">
        <f>B6/B4</f>
        <v>0.12387227267720714</v>
      </c>
      <c r="D6" s="48">
        <v>0.12387227267720714</v>
      </c>
      <c r="E6">
        <v>0</v>
      </c>
      <c r="F6" s="49">
        <f>IFERROR(E6/E4,0)</f>
        <v>0</v>
      </c>
      <c r="G6" s="48">
        <v>0</v>
      </c>
      <c r="H6">
        <v>66427858</v>
      </c>
    </row>
    <row r="7" spans="1:8" x14ac:dyDescent="0.2">
      <c r="A7" t="s">
        <v>16</v>
      </c>
      <c r="B7">
        <v>46910</v>
      </c>
      <c r="C7" s="52">
        <f>B7/B4</f>
        <v>0.4697153270784728</v>
      </c>
      <c r="D7" s="48">
        <v>0.4697153270784728</v>
      </c>
      <c r="E7">
        <v>85655</v>
      </c>
      <c r="F7" s="49">
        <f>IFERROR(E7/E4,0)</f>
        <v>5.705301257624109E-2</v>
      </c>
      <c r="G7" s="48">
        <v>5.705301257624109E-2</v>
      </c>
      <c r="H7">
        <v>1099674694</v>
      </c>
    </row>
    <row r="8" spans="1:8" x14ac:dyDescent="0.2">
      <c r="A8" t="s">
        <v>17</v>
      </c>
      <c r="B8">
        <v>15254</v>
      </c>
      <c r="C8" s="52">
        <f>B8/B4</f>
        <v>0.15274008951726761</v>
      </c>
      <c r="D8" s="48">
        <v>0.15274008951726761</v>
      </c>
      <c r="E8">
        <v>101590</v>
      </c>
      <c r="F8" s="49">
        <f>IFERROR(E8/E4,0)</f>
        <v>6.7666984386437826E-2</v>
      </c>
      <c r="G8" s="48">
        <v>6.7666984386437826E-2</v>
      </c>
      <c r="H8">
        <v>1006819822</v>
      </c>
    </row>
    <row r="9" spans="1:8" x14ac:dyDescent="0.2">
      <c r="A9" t="s">
        <v>56</v>
      </c>
      <c r="B9">
        <v>11526</v>
      </c>
      <c r="C9" s="52">
        <f>B9/B4</f>
        <v>0.11541118865714085</v>
      </c>
      <c r="D9" s="48">
        <v>0.11541118865714085</v>
      </c>
      <c r="E9">
        <v>156364</v>
      </c>
      <c r="F9" s="49">
        <f>IFERROR(E9/E4,0)</f>
        <v>0.10415080565607801</v>
      </c>
      <c r="G9" s="48">
        <v>0.10415080565607801</v>
      </c>
      <c r="H9">
        <v>1507570668</v>
      </c>
    </row>
    <row r="10" spans="1:8" x14ac:dyDescent="0.2">
      <c r="A10" t="s">
        <v>18</v>
      </c>
      <c r="B10">
        <v>8456</v>
      </c>
      <c r="C10" s="52">
        <f>B10/B4</f>
        <v>8.4670918903763936E-2</v>
      </c>
      <c r="D10" s="48">
        <v>8.4670918903763936E-2</v>
      </c>
      <c r="E10">
        <v>255846</v>
      </c>
      <c r="F10" s="49">
        <f>IFERROR(E10/E4,0)</f>
        <v>0.17041369512090337</v>
      </c>
      <c r="G10" s="48">
        <v>0.17041369512090337</v>
      </c>
      <c r="H10">
        <v>2636054834</v>
      </c>
    </row>
    <row r="11" spans="1:8" x14ac:dyDescent="0.2">
      <c r="A11" t="s">
        <v>19</v>
      </c>
      <c r="B11">
        <v>3151</v>
      </c>
      <c r="C11" s="52">
        <f>B11/B4</f>
        <v>3.1551332245241266E-2</v>
      </c>
      <c r="D11" s="48">
        <v>3.1551332245241266E-2</v>
      </c>
      <c r="E11">
        <v>217012</v>
      </c>
      <c r="F11" s="49">
        <f>IFERROR(E11/E4,0)</f>
        <v>0.14454717605738404</v>
      </c>
      <c r="G11" s="48">
        <v>0.14454717605738404</v>
      </c>
      <c r="H11">
        <v>2462922779</v>
      </c>
    </row>
    <row r="12" spans="1:8" x14ac:dyDescent="0.2">
      <c r="A12" t="s">
        <v>20</v>
      </c>
      <c r="B12">
        <v>1574</v>
      </c>
      <c r="C12" s="52">
        <f>B12/B4</f>
        <v>1.5760646446845366E-2</v>
      </c>
      <c r="D12" s="48">
        <v>1.5760646446845366E-2</v>
      </c>
      <c r="E12">
        <v>234537</v>
      </c>
      <c r="F12" s="49">
        <f>IFERROR(E12/E4,0)</f>
        <v>0.15622021377145356</v>
      </c>
      <c r="G12" s="48">
        <v>0.15622021377145356</v>
      </c>
      <c r="H12">
        <v>2843649420</v>
      </c>
    </row>
    <row r="13" spans="1:8" x14ac:dyDescent="0.2">
      <c r="A13" t="s">
        <v>21</v>
      </c>
      <c r="B13">
        <v>385</v>
      </c>
      <c r="C13" s="52">
        <f>B13/B4</f>
        <v>3.8550501156515036E-3</v>
      </c>
      <c r="D13" s="48">
        <v>3.8550501156515036E-3</v>
      </c>
      <c r="E13">
        <v>131083</v>
      </c>
      <c r="F13" s="49">
        <f>IFERROR(E13/E4,0)</f>
        <v>8.7311657784500743E-2</v>
      </c>
      <c r="G13" s="48">
        <v>8.7311657784500743E-2</v>
      </c>
      <c r="H13">
        <v>1803952220</v>
      </c>
    </row>
    <row r="14" spans="1:8" x14ac:dyDescent="0.2">
      <c r="A14" t="s">
        <v>23</v>
      </c>
      <c r="B14">
        <v>159</v>
      </c>
      <c r="C14" s="52">
        <f>B14/B4</f>
        <v>1.5920856321781534E-3</v>
      </c>
      <c r="D14" s="48">
        <v>1.5920856321781534E-3</v>
      </c>
      <c r="E14">
        <v>105991</v>
      </c>
      <c r="F14" s="49">
        <f>IFERROR(E14/E4,0)</f>
        <v>7.0598398878855523E-2</v>
      </c>
      <c r="G14" s="48">
        <v>7.0598398878855523E-2</v>
      </c>
      <c r="H14">
        <v>1564978746</v>
      </c>
    </row>
    <row r="15" spans="1:8" x14ac:dyDescent="0.2">
      <c r="A15" t="s">
        <v>57</v>
      </c>
      <c r="B15">
        <v>83</v>
      </c>
      <c r="C15" s="52">
        <f>B15/B4</f>
        <v>8.3108872623136303E-4</v>
      </c>
      <c r="D15" s="48">
        <v>8.3108872623136303E-4</v>
      </c>
      <c r="E15">
        <v>213245</v>
      </c>
      <c r="F15" s="49">
        <f>IFERROR(E15/E4,0)</f>
        <v>0.14203805576814582</v>
      </c>
      <c r="G15" s="48">
        <v>0.14203805576814582</v>
      </c>
      <c r="H15">
        <v>3031290268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TABLE5</vt:lpstr>
      <vt:lpstr>Sheet2</vt:lpstr>
      <vt:lpstr>Chart1</vt:lpstr>
      <vt:lpstr>TABLE5!Print_Area</vt:lpstr>
      <vt:lpstr>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Schroeder</dc:creator>
  <cp:lastModifiedBy>Alyssia Minaya</cp:lastModifiedBy>
  <cp:lastPrinted>2018-12-21T18:42:59Z</cp:lastPrinted>
  <dcterms:created xsi:type="dcterms:W3CDTF">2002-12-20T22:52:14Z</dcterms:created>
  <dcterms:modified xsi:type="dcterms:W3CDTF">2019-11-20T15:06:15Z</dcterms:modified>
</cp:coreProperties>
</file>