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4530" windowWidth="23070" windowHeight="4590" activeTab="2"/>
  </bookViews>
  <sheets>
    <sheet name="Chart1" sheetId="2" r:id="rId1"/>
    <sheet name="Sheet1" sheetId="3" r:id="rId2"/>
    <sheet name="TABLE5" sheetId="1" r:id="rId3"/>
    <sheet name="Sheet2" sheetId="4" r:id="rId4"/>
  </sheets>
  <definedNames>
    <definedName name="_xlnm.Print_Area" localSheetId="2">TABLE5!$A$1:$K$352</definedName>
    <definedName name="_xlnm.Print_Area">TABLE5!$P$652:$V$702</definedName>
  </definedNames>
  <calcPr calcId="145621"/>
</workbook>
</file>

<file path=xl/calcChain.xml><?xml version="1.0" encoding="utf-8"?>
<calcChain xmlns="http://schemas.openxmlformats.org/spreadsheetml/2006/main">
  <c r="D12" i="4" l="1"/>
  <c r="D11" i="4"/>
  <c r="D10" i="4"/>
  <c r="D9" i="4"/>
  <c r="D8" i="4"/>
  <c r="D7" i="4"/>
  <c r="D6" i="4"/>
  <c r="D5" i="4"/>
  <c r="D4" i="4"/>
  <c r="B12" i="4"/>
  <c r="B11" i="4"/>
  <c r="B10" i="4"/>
  <c r="B9" i="4"/>
  <c r="B8" i="4"/>
  <c r="B7" i="4"/>
  <c r="B6" i="4"/>
  <c r="B5" i="4"/>
  <c r="B4" i="4"/>
  <c r="B3" i="4"/>
  <c r="K346" i="1" l="1"/>
  <c r="K345" i="1"/>
  <c r="K344" i="1"/>
  <c r="K343" i="1"/>
  <c r="K342" i="1"/>
  <c r="K341" i="1"/>
  <c r="K340" i="1"/>
  <c r="K339" i="1"/>
  <c r="K338" i="1"/>
  <c r="K337" i="1"/>
  <c r="K335" i="1"/>
  <c r="E315" i="1"/>
  <c r="K295" i="1"/>
  <c r="K294" i="1"/>
  <c r="K293" i="1"/>
  <c r="K292" i="1"/>
  <c r="K291" i="1"/>
  <c r="K290" i="1"/>
  <c r="K289" i="1"/>
  <c r="K288" i="1"/>
  <c r="K287" i="1"/>
  <c r="K286" i="1"/>
  <c r="K244" i="1"/>
  <c r="K243" i="1"/>
  <c r="K242" i="1"/>
  <c r="K241" i="1"/>
  <c r="K240" i="1"/>
  <c r="K239" i="1"/>
  <c r="K238" i="1"/>
  <c r="K237" i="1"/>
  <c r="K236" i="1"/>
  <c r="K234" i="1"/>
  <c r="K47" i="1"/>
  <c r="K46" i="1"/>
  <c r="K45" i="1"/>
  <c r="K44" i="1"/>
  <c r="K43" i="1"/>
  <c r="K42" i="1"/>
  <c r="K41" i="1"/>
  <c r="K40" i="1"/>
  <c r="K39" i="1"/>
  <c r="K38" i="1"/>
  <c r="E44" i="1"/>
  <c r="K22" i="1"/>
  <c r="K21" i="1"/>
  <c r="K20" i="1"/>
  <c r="K19" i="1"/>
  <c r="K18" i="1"/>
  <c r="K17" i="1"/>
  <c r="K16" i="1"/>
  <c r="K14" i="1"/>
  <c r="E25" i="1"/>
  <c r="E24" i="1"/>
  <c r="E23" i="1"/>
  <c r="E22" i="1"/>
  <c r="E21" i="1"/>
  <c r="E20" i="1"/>
  <c r="E19" i="1"/>
  <c r="E18" i="1"/>
  <c r="E17" i="1"/>
  <c r="E16" i="1"/>
  <c r="E14" i="1"/>
  <c r="E146" i="1" l="1"/>
  <c r="E145" i="1"/>
  <c r="E144" i="1"/>
  <c r="E143" i="1"/>
  <c r="E142" i="1"/>
  <c r="E141" i="1"/>
  <c r="E140" i="1"/>
  <c r="E139" i="1"/>
  <c r="E138" i="1"/>
  <c r="E137" i="1"/>
  <c r="E135" i="1"/>
  <c r="K125" i="1"/>
  <c r="D18" i="1" l="1"/>
  <c r="D17" i="1"/>
  <c r="D19" i="1"/>
  <c r="D20" i="1"/>
  <c r="D21" i="1"/>
  <c r="C21" i="1"/>
  <c r="C17" i="1"/>
  <c r="C18" i="1"/>
  <c r="C19" i="1"/>
  <c r="C20" i="1"/>
  <c r="D16" i="1"/>
  <c r="C16" i="1"/>
  <c r="K262" i="1"/>
  <c r="K264" i="1"/>
  <c r="K265" i="1"/>
  <c r="K266" i="1"/>
  <c r="K267" i="1"/>
  <c r="K268" i="1"/>
  <c r="K269" i="1"/>
  <c r="K270" i="1"/>
  <c r="K271" i="1"/>
  <c r="K272" i="1"/>
  <c r="K273" i="1"/>
  <c r="J234" i="1"/>
  <c r="I234" i="1"/>
  <c r="I237" i="1"/>
  <c r="K224" i="1"/>
  <c r="K223" i="1"/>
  <c r="K222" i="1"/>
  <c r="K221" i="1"/>
  <c r="K220" i="1"/>
  <c r="K219" i="1"/>
  <c r="K218" i="1"/>
  <c r="K217" i="1"/>
  <c r="K216" i="1"/>
  <c r="K215" i="1"/>
  <c r="K213" i="1"/>
  <c r="K174" i="1"/>
  <c r="K173" i="1"/>
  <c r="K172" i="1"/>
  <c r="K171" i="1"/>
  <c r="K170" i="1"/>
  <c r="K169" i="1"/>
  <c r="K168" i="1"/>
  <c r="K167" i="1"/>
  <c r="K166" i="1"/>
  <c r="K164" i="1"/>
  <c r="E174" i="1"/>
  <c r="E173" i="1"/>
  <c r="E172" i="1"/>
  <c r="E171" i="1"/>
  <c r="E170" i="1"/>
  <c r="E169" i="1"/>
  <c r="E168" i="1"/>
  <c r="E167" i="1"/>
  <c r="E166" i="1"/>
  <c r="E164" i="1"/>
  <c r="K135" i="1"/>
  <c r="J174" i="1"/>
  <c r="I174" i="1"/>
  <c r="H174" i="1"/>
  <c r="D174" i="1"/>
  <c r="C174" i="1"/>
  <c r="B174" i="1"/>
  <c r="J71" i="1"/>
  <c r="J72" i="1"/>
  <c r="J73" i="1"/>
  <c r="J74" i="1"/>
  <c r="J75" i="1"/>
  <c r="J76" i="1"/>
  <c r="J77" i="1"/>
  <c r="E273" i="1" l="1"/>
  <c r="E272" i="1"/>
  <c r="E271" i="1"/>
  <c r="E270" i="1"/>
  <c r="E269" i="1"/>
  <c r="E268" i="1"/>
  <c r="E267" i="1"/>
  <c r="E266" i="1"/>
  <c r="E265" i="1"/>
  <c r="E264" i="1"/>
  <c r="E262" i="1"/>
  <c r="E345" i="1"/>
  <c r="E344" i="1"/>
  <c r="E343" i="1"/>
  <c r="E342" i="1"/>
  <c r="E341" i="1"/>
  <c r="E340" i="1"/>
  <c r="E339" i="1"/>
  <c r="E338" i="1"/>
  <c r="E335" i="1"/>
  <c r="D345" i="1"/>
  <c r="C345" i="1"/>
  <c r="B345" i="1"/>
  <c r="K324" i="1"/>
  <c r="K323" i="1"/>
  <c r="K322" i="1"/>
  <c r="K321" i="1"/>
  <c r="K320" i="1"/>
  <c r="K319" i="1"/>
  <c r="K318" i="1"/>
  <c r="K317" i="1"/>
  <c r="K316" i="1"/>
  <c r="K315" i="1"/>
  <c r="K313" i="1"/>
  <c r="E324" i="1"/>
  <c r="E323" i="1"/>
  <c r="E322" i="1"/>
  <c r="E321" i="1"/>
  <c r="E320" i="1"/>
  <c r="E319" i="1"/>
  <c r="E318" i="1"/>
  <c r="E317" i="1"/>
  <c r="E316" i="1"/>
  <c r="E313" i="1"/>
  <c r="E295" i="1"/>
  <c r="E294" i="1"/>
  <c r="E293" i="1"/>
  <c r="E292" i="1"/>
  <c r="E291" i="1"/>
  <c r="E290" i="1"/>
  <c r="E289" i="1"/>
  <c r="E288" i="1"/>
  <c r="E287" i="1"/>
  <c r="E284" i="1"/>
  <c r="K284" i="1"/>
  <c r="E244" i="1"/>
  <c r="E243" i="1"/>
  <c r="E242" i="1"/>
  <c r="E241" i="1"/>
  <c r="E240" i="1"/>
  <c r="E239" i="1"/>
  <c r="E238" i="1"/>
  <c r="E237" i="1"/>
  <c r="E236" i="1"/>
  <c r="E234" i="1"/>
  <c r="D244" i="1"/>
  <c r="C244" i="1"/>
  <c r="E224" i="1"/>
  <c r="E223" i="1"/>
  <c r="E222" i="1"/>
  <c r="E221" i="1"/>
  <c r="E220" i="1"/>
  <c r="E219" i="1"/>
  <c r="E218" i="1"/>
  <c r="E217" i="1"/>
  <c r="E216" i="1"/>
  <c r="E215" i="1"/>
  <c r="E213" i="1"/>
  <c r="K196" i="1"/>
  <c r="K195" i="1"/>
  <c r="K194" i="1"/>
  <c r="K193" i="1"/>
  <c r="K192" i="1"/>
  <c r="K191" i="1"/>
  <c r="K190" i="1"/>
  <c r="K189" i="1"/>
  <c r="K188" i="1"/>
  <c r="K187" i="1"/>
  <c r="K185" i="1"/>
  <c r="E196" i="1"/>
  <c r="E195" i="1"/>
  <c r="E194" i="1"/>
  <c r="E193" i="1"/>
  <c r="E192" i="1"/>
  <c r="E191" i="1"/>
  <c r="E190" i="1"/>
  <c r="E189" i="1"/>
  <c r="E188" i="1"/>
  <c r="E187" i="1"/>
  <c r="E185" i="1"/>
  <c r="K143" i="1"/>
  <c r="K142" i="1"/>
  <c r="K141" i="1"/>
  <c r="K140" i="1"/>
  <c r="K139" i="1"/>
  <c r="K137" i="1"/>
  <c r="K138" i="1"/>
  <c r="J143" i="1"/>
  <c r="I143" i="1"/>
  <c r="K124" i="1"/>
  <c r="K123" i="1"/>
  <c r="K122" i="1"/>
  <c r="K121" i="1"/>
  <c r="K120" i="1"/>
  <c r="K119" i="1"/>
  <c r="K118" i="1"/>
  <c r="K117" i="1"/>
  <c r="K116" i="1"/>
  <c r="K114" i="1"/>
  <c r="J114" i="1"/>
  <c r="E125" i="1"/>
  <c r="E124" i="1"/>
  <c r="E123" i="1"/>
  <c r="E122" i="1"/>
  <c r="E121" i="1"/>
  <c r="E120" i="1"/>
  <c r="E119" i="1"/>
  <c r="E118" i="1"/>
  <c r="E117" i="1"/>
  <c r="E116" i="1"/>
  <c r="E114" i="1"/>
  <c r="K77" i="1"/>
  <c r="K76" i="1"/>
  <c r="K75" i="1"/>
  <c r="K74" i="1"/>
  <c r="K73" i="1"/>
  <c r="K72" i="1"/>
  <c r="K71" i="1"/>
  <c r="K70" i="1"/>
  <c r="K69" i="1"/>
  <c r="K68" i="1"/>
  <c r="K66" i="1"/>
  <c r="I76" i="1"/>
  <c r="I77" i="1"/>
  <c r="H76" i="1"/>
  <c r="H77" i="1"/>
  <c r="K98" i="1"/>
  <c r="K97" i="1"/>
  <c r="K96" i="1"/>
  <c r="K95" i="1"/>
  <c r="K94" i="1"/>
  <c r="K93" i="1"/>
  <c r="K92" i="1"/>
  <c r="K91" i="1"/>
  <c r="K90" i="1"/>
  <c r="K89" i="1"/>
  <c r="K87" i="1"/>
  <c r="J87" i="1"/>
  <c r="I87" i="1"/>
  <c r="H87" i="1"/>
  <c r="E97" i="1"/>
  <c r="E96" i="1"/>
  <c r="E95" i="1"/>
  <c r="E94" i="1"/>
  <c r="E93" i="1"/>
  <c r="E92" i="1"/>
  <c r="E91" i="1"/>
  <c r="E90" i="1"/>
  <c r="E89" i="1"/>
  <c r="E87" i="1"/>
  <c r="E36" i="1"/>
  <c r="K36" i="1"/>
  <c r="E66" i="1"/>
  <c r="E77" i="1"/>
  <c r="E76" i="1"/>
  <c r="E75" i="1"/>
  <c r="E74" i="1"/>
  <c r="E73" i="1"/>
  <c r="E72" i="1"/>
  <c r="E71" i="1"/>
  <c r="E70" i="1"/>
  <c r="E69" i="1"/>
  <c r="E68" i="1"/>
  <c r="D44" i="1"/>
  <c r="E43" i="1"/>
  <c r="E42" i="1"/>
  <c r="E41" i="1"/>
  <c r="E40" i="1"/>
  <c r="E39" i="1"/>
  <c r="E38" i="1"/>
  <c r="C44" i="1"/>
  <c r="K23" i="1"/>
  <c r="J23" i="1"/>
  <c r="I23" i="1"/>
  <c r="J213" i="1" l="1"/>
  <c r="J185" i="1"/>
  <c r="I185" i="1"/>
  <c r="H185" i="1"/>
  <c r="H68" i="1"/>
  <c r="B16" i="1" s="1"/>
  <c r="H69" i="1"/>
  <c r="B17" i="1" s="1"/>
  <c r="H70" i="1"/>
  <c r="B18" i="1" s="1"/>
  <c r="J36" i="1"/>
  <c r="I36" i="1"/>
  <c r="H36" i="1"/>
  <c r="H234" i="1" l="1"/>
  <c r="D284" i="1" l="1"/>
  <c r="I75" i="1" l="1"/>
  <c r="B114" i="1" l="1"/>
  <c r="C114" i="1"/>
  <c r="D114" i="1"/>
  <c r="D335" i="1" l="1"/>
  <c r="C335" i="1"/>
  <c r="B335" i="1"/>
  <c r="H75" i="1"/>
  <c r="H74" i="1"/>
  <c r="D87" i="1"/>
  <c r="J335" i="1" l="1"/>
  <c r="I335" i="1"/>
  <c r="H335" i="1"/>
  <c r="J313" i="1"/>
  <c r="I313" i="1"/>
  <c r="H313" i="1"/>
  <c r="D313" i="1"/>
  <c r="C313" i="1"/>
  <c r="B313" i="1"/>
  <c r="J284" i="1"/>
  <c r="I284" i="1"/>
  <c r="H284" i="1"/>
  <c r="C284" i="1"/>
  <c r="B284" i="1"/>
  <c r="J262" i="1"/>
  <c r="I262" i="1"/>
  <c r="H262" i="1"/>
  <c r="D262" i="1"/>
  <c r="C262" i="1"/>
  <c r="B262" i="1"/>
  <c r="B234" i="1"/>
  <c r="D234" i="1"/>
  <c r="C234" i="1"/>
  <c r="I213" i="1"/>
  <c r="H213" i="1"/>
  <c r="D213" i="1"/>
  <c r="C213" i="1"/>
  <c r="B213" i="1"/>
  <c r="D185" i="1"/>
  <c r="C185" i="1"/>
  <c r="B185" i="1"/>
  <c r="I164" i="1"/>
  <c r="H164" i="1"/>
  <c r="J164" i="1"/>
  <c r="D164" i="1"/>
  <c r="C164" i="1"/>
  <c r="B164" i="1"/>
  <c r="I135" i="1"/>
  <c r="J135" i="1"/>
  <c r="H135" i="1"/>
  <c r="D135" i="1"/>
  <c r="C135" i="1"/>
  <c r="B135" i="1"/>
  <c r="I114" i="1"/>
  <c r="H114" i="1"/>
  <c r="C87" i="1"/>
  <c r="B87" i="1"/>
  <c r="I74" i="1"/>
  <c r="I73" i="1"/>
  <c r="H73" i="1"/>
  <c r="B21" i="1" s="1"/>
  <c r="I72" i="1"/>
  <c r="H72" i="1"/>
  <c r="B20" i="1" s="1"/>
  <c r="I71" i="1"/>
  <c r="H71" i="1"/>
  <c r="B19" i="1" s="1"/>
  <c r="J70" i="1"/>
  <c r="I70" i="1"/>
  <c r="J69" i="1"/>
  <c r="I69" i="1"/>
  <c r="J68" i="1"/>
  <c r="I68" i="1"/>
  <c r="D66" i="1"/>
  <c r="C66" i="1"/>
  <c r="B66" i="1"/>
  <c r="D36" i="1"/>
  <c r="C36" i="1"/>
  <c r="B36" i="1"/>
  <c r="J14" i="1"/>
  <c r="I14" i="1"/>
  <c r="H14" i="1"/>
  <c r="D14" i="1"/>
  <c r="C14" i="1"/>
  <c r="E37" i="3"/>
  <c r="F37" i="3"/>
  <c r="B14" i="1" l="1"/>
  <c r="I66" i="1"/>
  <c r="J66" i="1"/>
  <c r="H66" i="1"/>
</calcChain>
</file>

<file path=xl/sharedStrings.xml><?xml version="1.0" encoding="utf-8"?>
<sst xmlns="http://schemas.openxmlformats.org/spreadsheetml/2006/main" count="740" uniqueCount="76">
  <si>
    <t>STATE TOTAL</t>
  </si>
  <si>
    <t xml:space="preserve">   MINING (21)</t>
  </si>
  <si>
    <t>Total</t>
  </si>
  <si>
    <t xml:space="preserve">   Average</t>
  </si>
  <si>
    <t>Employment</t>
  </si>
  <si>
    <t xml:space="preserve">   Number of</t>
  </si>
  <si>
    <t xml:space="preserve">    March</t>
  </si>
  <si>
    <t>Quarterly</t>
  </si>
  <si>
    <t xml:space="preserve">   Monthly</t>
  </si>
  <si>
    <t xml:space="preserve">  Range</t>
  </si>
  <si>
    <t>Establishments</t>
  </si>
  <si>
    <t xml:space="preserve">  Employment</t>
  </si>
  <si>
    <t>Wages</t>
  </si>
  <si>
    <t xml:space="preserve">   Wage</t>
  </si>
  <si>
    <t xml:space="preserve">  Total</t>
  </si>
  <si>
    <t>0</t>
  </si>
  <si>
    <t>1-4</t>
  </si>
  <si>
    <t>5-9</t>
  </si>
  <si>
    <t>20-49</t>
  </si>
  <si>
    <t>50-99</t>
  </si>
  <si>
    <t>100-249</t>
  </si>
  <si>
    <t>250-499</t>
  </si>
  <si>
    <t>250 &amp; Over</t>
  </si>
  <si>
    <t>500-999</t>
  </si>
  <si>
    <t>1,000 &amp; Over</t>
  </si>
  <si>
    <t>UTILITIES (22)</t>
  </si>
  <si>
    <t xml:space="preserve">    CONSTRUCTION (23)</t>
  </si>
  <si>
    <t xml:space="preserve">   Total</t>
  </si>
  <si>
    <t xml:space="preserve"> </t>
  </si>
  <si>
    <t xml:space="preserve">       MANUFACTURING (31-33)</t>
  </si>
  <si>
    <t xml:space="preserve">   TRADE</t>
  </si>
  <si>
    <t>500 &amp; Over</t>
  </si>
  <si>
    <t xml:space="preserve">    Wholesale Trade (42)</t>
  </si>
  <si>
    <t>Retail Trade (44-45)</t>
  </si>
  <si>
    <t xml:space="preserve">   TRANSPORTATION AND WAREHOUSING (48-49)</t>
  </si>
  <si>
    <t xml:space="preserve">              INFORMATION (51)</t>
  </si>
  <si>
    <t>FINANCE AND INSURANCE (52)</t>
  </si>
  <si>
    <t>REAL ESTATE &amp; RENTAL AND LEASING (53)</t>
  </si>
  <si>
    <t>100 &amp; Over</t>
  </si>
  <si>
    <t>PROFESSIONAL, SCIENTIFIC, AND TECHNICAL SERVICES (54)</t>
  </si>
  <si>
    <t>MANAGEMENT OF COMPANIES AND ENTERPRISES (55)</t>
  </si>
  <si>
    <t>ADMINISTRATIVE &amp; SUPPORT, WASTE MANAGEMENT, &amp; REMEDIATION SERVICES (56)</t>
  </si>
  <si>
    <t>HEALTH CARE AND SOCIAL ASSISTANCE (62)</t>
  </si>
  <si>
    <t>ARTS, ENTERTAINMENT, AND RECREATION (71)</t>
  </si>
  <si>
    <t>ACCOMMODATION AND FOOD SERVICES (72)</t>
  </si>
  <si>
    <t>OTHER SERVICES (81)</t>
  </si>
  <si>
    <t>FEDERAL GOVERNMENT</t>
  </si>
  <si>
    <t>FEDERAL DEFENSE</t>
  </si>
  <si>
    <t>STATE GOVERNMENT</t>
  </si>
  <si>
    <t>STATE EDUCATION</t>
  </si>
  <si>
    <t>LOCAL GOVERNMENT</t>
  </si>
  <si>
    <t>LOCAL EDUCATION</t>
  </si>
  <si>
    <t>PRIVATE SECTOR</t>
  </si>
  <si>
    <t>GOVERNMENT (92)</t>
  </si>
  <si>
    <t>500 &amp;  Over</t>
  </si>
  <si>
    <t>500 - 999</t>
  </si>
  <si>
    <t>10-19</t>
  </si>
  <si>
    <t>1000 &amp; Over</t>
  </si>
  <si>
    <t xml:space="preserve"> 500 &amp; Over</t>
  </si>
  <si>
    <t xml:space="preserve">250-499 </t>
  </si>
  <si>
    <t>EDUCATIONAL SERVICES (PRIVATE) (61)</t>
  </si>
  <si>
    <t>.</t>
  </si>
  <si>
    <t>SOURCE: Utah Department of Workforce Services, Workforce Research &amp; Analysis, Utah Employers, Employment, and Wages by Size, 2017.</t>
  </si>
  <si>
    <t>0                         12.6                    0.0</t>
  </si>
  <si>
    <t>1-4                      46.4                    5.7</t>
  </si>
  <si>
    <t>5-9                      15.6                    6.9</t>
  </si>
  <si>
    <t>10-19                   11.6                 10.4</t>
  </si>
  <si>
    <t>20-49                    8.4                  16.7</t>
  </si>
  <si>
    <t>50-99                    3.2                  14.5</t>
  </si>
  <si>
    <t>100-249                1.6                  15.5</t>
  </si>
  <si>
    <t>250-499                0.4                    9.3</t>
  </si>
  <si>
    <t>500-999                0.1                    6.8</t>
  </si>
  <si>
    <t>1000+                   0.1                  14.2</t>
  </si>
  <si>
    <t>Annual Report</t>
  </si>
  <si>
    <t xml:space="preserve">TABLE 16.  UTAH ESTABLISHMENTS, EMPLOYMENT, AND WAGES BY FIRM SIZE AND INDUSTRY, FIRST QUARTER 2017     
</t>
  </si>
  <si>
    <t>TABLE 16.  (cont.)UTAH ESTABLISHMENTS, EMPLOYMENT, AND WAGES BY FIRM SIZE AND INDUSTRY, FIRST QUARTER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</si>
</sst>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&quot;$&quot;#,##0\ ;\(&quot;$&quot;#,##0\)"/>
    <numFmt numFmtId="165" formatCode="&quot;$&quot;#,##0"/>
    <numFmt numFmtId="166" formatCode="#,##0.0000"/>
    <numFmt numFmtId="167" formatCode="0.0%"/>
  </numFmts>
  <fonts count="11" x14ac:knownFonts="1">
    <font>
      <sz val="10"/>
      <name val="Arial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1"/>
      <color theme="0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0" fontId="2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2">
    <xf numFmtId="3" fontId="0" fillId="0" borderId="0" xfId="0" applyNumberFormat="1"/>
    <xf numFmtId="164" fontId="0" fillId="0" borderId="0" xfId="0" applyNumberFormat="1"/>
    <xf numFmtId="4" fontId="0" fillId="0" borderId="0" xfId="0" applyNumberFormat="1"/>
    <xf numFmtId="3" fontId="0" fillId="0" borderId="0" xfId="0" quotePrefix="1" applyNumberFormat="1"/>
    <xf numFmtId="165" fontId="0" fillId="0" borderId="0" xfId="0" applyNumberFormat="1"/>
    <xf numFmtId="3" fontId="1" fillId="0" borderId="0" xfId="0" applyNumberFormat="1" applyFont="1" applyFill="1"/>
    <xf numFmtId="3" fontId="2" fillId="0" borderId="0" xfId="0" applyNumberFormat="1" applyFont="1"/>
    <xf numFmtId="3" fontId="4" fillId="0" borderId="0" xfId="0" applyNumberFormat="1" applyFont="1" applyFill="1"/>
    <xf numFmtId="3" fontId="0" fillId="0" borderId="0" xfId="0" applyNumberFormat="1" applyFill="1"/>
    <xf numFmtId="3" fontId="2" fillId="0" borderId="0" xfId="0" applyNumberFormat="1" applyFont="1" applyFill="1"/>
    <xf numFmtId="3" fontId="2" fillId="0" borderId="0" xfId="0" applyNumberFormat="1" applyFont="1" applyAlignment="1"/>
    <xf numFmtId="3" fontId="0" fillId="0" borderId="0" xfId="0" applyNumberFormat="1" applyAlignment="1"/>
    <xf numFmtId="3" fontId="0" fillId="3" borderId="0" xfId="0" applyNumberFormat="1" applyFill="1"/>
    <xf numFmtId="3" fontId="4" fillId="2" borderId="0" xfId="0" applyNumberFormat="1" applyFont="1" applyFill="1"/>
    <xf numFmtId="3" fontId="4" fillId="0" borderId="0" xfId="0" applyNumberFormat="1" applyFont="1"/>
    <xf numFmtId="3" fontId="4" fillId="2" borderId="0" xfId="0" applyNumberFormat="1" applyFont="1" applyFill="1" applyAlignment="1">
      <alignment horizontal="right"/>
    </xf>
    <xf numFmtId="3" fontId="4" fillId="2" borderId="0" xfId="0" applyNumberFormat="1" applyFont="1" applyFill="1" applyAlignment="1">
      <alignment horizontal="left"/>
    </xf>
    <xf numFmtId="165" fontId="4" fillId="0" borderId="0" xfId="0" applyNumberFormat="1" applyFont="1"/>
    <xf numFmtId="164" fontId="4" fillId="0" borderId="0" xfId="0" applyNumberFormat="1" applyFont="1"/>
    <xf numFmtId="3" fontId="6" fillId="0" borderId="0" xfId="0" applyNumberFormat="1" applyFont="1"/>
    <xf numFmtId="164" fontId="4" fillId="0" borderId="0" xfId="0" applyNumberFormat="1" applyFont="1" applyAlignment="1"/>
    <xf numFmtId="3" fontId="0" fillId="5" borderId="0" xfId="0" applyNumberFormat="1" applyFill="1"/>
    <xf numFmtId="3" fontId="4" fillId="6" borderId="0" xfId="0" applyNumberFormat="1" applyFont="1" applyFill="1"/>
    <xf numFmtId="165" fontId="4" fillId="6" borderId="0" xfId="0" applyNumberFormat="1" applyFont="1" applyFill="1"/>
    <xf numFmtId="3" fontId="0" fillId="6" borderId="0" xfId="0" applyNumberFormat="1" applyFill="1"/>
    <xf numFmtId="3" fontId="0" fillId="0" borderId="1" xfId="0" applyNumberFormat="1" applyBorder="1"/>
    <xf numFmtId="3" fontId="0" fillId="0" borderId="2" xfId="0" applyNumberFormat="1" applyBorder="1"/>
    <xf numFmtId="3" fontId="4" fillId="6" borderId="2" xfId="0" applyNumberFormat="1" applyFont="1" applyFill="1" applyBorder="1"/>
    <xf numFmtId="165" fontId="4" fillId="6" borderId="2" xfId="0" applyNumberFormat="1" applyFont="1" applyFill="1" applyBorder="1"/>
    <xf numFmtId="164" fontId="4" fillId="6" borderId="2" xfId="0" applyNumberFormat="1" applyFont="1" applyFill="1" applyBorder="1"/>
    <xf numFmtId="3" fontId="0" fillId="6" borderId="2" xfId="0" applyNumberFormat="1" applyFill="1" applyBorder="1"/>
    <xf numFmtId="3" fontId="0" fillId="6" borderId="2" xfId="0" quotePrefix="1" applyNumberFormat="1" applyFill="1" applyBorder="1"/>
    <xf numFmtId="3" fontId="2" fillId="6" borderId="2" xfId="0" applyNumberFormat="1" applyFont="1" applyFill="1" applyBorder="1"/>
    <xf numFmtId="3" fontId="2" fillId="6" borderId="2" xfId="1" applyNumberFormat="1" applyFont="1" applyFill="1" applyBorder="1"/>
    <xf numFmtId="3" fontId="0" fillId="5" borderId="2" xfId="0" applyNumberFormat="1" applyFill="1" applyBorder="1"/>
    <xf numFmtId="3" fontId="0" fillId="6" borderId="2" xfId="0" applyNumberFormat="1" applyFill="1" applyBorder="1" applyAlignment="1">
      <alignment horizontal="left"/>
    </xf>
    <xf numFmtId="3" fontId="0" fillId="0" borderId="2" xfId="0" applyNumberFormat="1" applyFill="1" applyBorder="1"/>
    <xf numFmtId="3" fontId="3" fillId="6" borderId="2" xfId="0" applyNumberFormat="1" applyFont="1" applyFill="1" applyBorder="1"/>
    <xf numFmtId="166" fontId="4" fillId="0" borderId="0" xfId="2" applyNumberFormat="1" applyFont="1"/>
    <xf numFmtId="166" fontId="0" fillId="0" borderId="0" xfId="2" applyNumberFormat="1" applyFont="1"/>
    <xf numFmtId="167" fontId="4" fillId="0" borderId="0" xfId="3" applyNumberFormat="1" applyFont="1"/>
    <xf numFmtId="167" fontId="0" fillId="0" borderId="0" xfId="3" applyNumberFormat="1" applyFont="1"/>
    <xf numFmtId="3" fontId="8" fillId="0" borderId="0" xfId="0" applyNumberFormat="1" applyFont="1" applyAlignment="1">
      <alignment horizontal="left" vertical="center" readingOrder="1"/>
    </xf>
    <xf numFmtId="3" fontId="4" fillId="2" borderId="0" xfId="0" applyNumberFormat="1" applyFont="1" applyFill="1" applyAlignment="1">
      <alignment horizontal="center"/>
    </xf>
    <xf numFmtId="3" fontId="5" fillId="4" borderId="0" xfId="0" applyNumberFormat="1" applyFont="1" applyFill="1" applyAlignment="1">
      <alignment horizontal="center" vertical="center"/>
    </xf>
    <xf numFmtId="3" fontId="5" fillId="4" borderId="0" xfId="0" applyNumberFormat="1" applyFont="1" applyFill="1" applyAlignment="1">
      <alignment horizontal="center" vertical="top" wrapText="1"/>
    </xf>
    <xf numFmtId="3" fontId="5" fillId="0" borderId="0" xfId="0" applyNumberFormat="1" applyFont="1" applyAlignment="1">
      <alignment horizontal="center" vertical="top"/>
    </xf>
    <xf numFmtId="3" fontId="5" fillId="3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/>
    <xf numFmtId="3" fontId="0" fillId="0" borderId="0" xfId="0" applyNumberFormat="1" applyAlignment="1"/>
    <xf numFmtId="3" fontId="9" fillId="4" borderId="0" xfId="0" applyNumberFormat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horizontal="center" vertical="center"/>
    </xf>
  </cellXfs>
  <cellStyles count="4">
    <cellStyle name="Currency" xfId="2" builtinId="4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098779134295227E-2"/>
          <c:y val="1.6313213703099509E-2"/>
          <c:w val="0.97780244173140951"/>
          <c:h val="0.9673735725938009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0192"/>
        <c:axId val="47561728"/>
      </c:barChart>
      <c:catAx>
        <c:axId val="4756019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561728"/>
        <c:crosses val="autoZero"/>
        <c:auto val="1"/>
        <c:lblAlgn val="ctr"/>
        <c:lblOffset val="100"/>
        <c:tickMarkSkip val="1"/>
        <c:noMultiLvlLbl val="0"/>
      </c:catAx>
      <c:valAx>
        <c:axId val="47561728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560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Number of Employment by Construction Firm Size; March 2005</a:t>
            </a:r>
          </a:p>
        </c:rich>
      </c:tx>
      <c:layout>
        <c:manualLayout>
          <c:xMode val="edge"/>
          <c:yMode val="edge"/>
          <c:x val="0.13400000000000001"/>
          <c:y val="3.71621621621621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"/>
          <c:y val="0.25675675675675674"/>
          <c:w val="0.42399999999999999"/>
          <c:h val="0.591216216216216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Sheet1!$E$33:$E$34</c:f>
              <c:strCache>
                <c:ptCount val="1"/>
                <c:pt idx="0">
                  <c:v>   Number of Establishments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Sheet1!$D$35:$D$46</c:f>
              <c:strCache>
                <c:ptCount val="8"/>
                <c:pt idx="0">
                  <c:v>0</c:v>
                </c:pt>
                <c:pt idx="1">
                  <c:v>1-4</c:v>
                </c:pt>
                <c:pt idx="2">
                  <c:v>5-9</c:v>
                </c:pt>
                <c:pt idx="3">
                  <c:v>10-19</c:v>
                </c:pt>
                <c:pt idx="4">
                  <c:v>20-49</c:v>
                </c:pt>
                <c:pt idx="5">
                  <c:v>50-99</c:v>
                </c:pt>
                <c:pt idx="6">
                  <c:v>100-249</c:v>
                </c:pt>
                <c:pt idx="7">
                  <c:v>250 &amp; Over</c:v>
                </c:pt>
              </c:strCache>
            </c:strRef>
          </c:cat>
          <c:val>
            <c:numRef>
              <c:f>Sheet1!$E$35:$E$46</c:f>
              <c:numCache>
                <c:formatCode>#,##0</c:formatCode>
                <c:ptCount val="8"/>
                <c:pt idx="0">
                  <c:v>2509</c:v>
                </c:pt>
                <c:pt idx="1">
                  <c:v>5021</c:v>
                </c:pt>
                <c:pt idx="2">
                  <c:v>2051</c:v>
                </c:pt>
                <c:pt idx="3">
                  <c:v>1105</c:v>
                </c:pt>
                <c:pt idx="4">
                  <c:v>600</c:v>
                </c:pt>
                <c:pt idx="5">
                  <c:v>147</c:v>
                </c:pt>
                <c:pt idx="6">
                  <c:v>46</c:v>
                </c:pt>
                <c:pt idx="7">
                  <c:v>5</c:v>
                </c:pt>
              </c:numCache>
            </c:numRef>
          </c:val>
        </c:ser>
        <c:ser>
          <c:idx val="1"/>
          <c:order val="1"/>
          <c:tx>
            <c:strRef>
              <c:f>Sheet1!$F$33:$F$34</c:f>
              <c:strCache>
                <c:ptCount val="1"/>
                <c:pt idx="0">
                  <c:v>    March   Employment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Sheet1!$D$35:$D$46</c:f>
              <c:strCache>
                <c:ptCount val="8"/>
                <c:pt idx="0">
                  <c:v>0</c:v>
                </c:pt>
                <c:pt idx="1">
                  <c:v>1-4</c:v>
                </c:pt>
                <c:pt idx="2">
                  <c:v>5-9</c:v>
                </c:pt>
                <c:pt idx="3">
                  <c:v>10-19</c:v>
                </c:pt>
                <c:pt idx="4">
                  <c:v>20-49</c:v>
                </c:pt>
                <c:pt idx="5">
                  <c:v>50-99</c:v>
                </c:pt>
                <c:pt idx="6">
                  <c:v>100-249</c:v>
                </c:pt>
                <c:pt idx="7">
                  <c:v>250 &amp; Over</c:v>
                </c:pt>
              </c:strCache>
            </c:strRef>
          </c:cat>
          <c:val>
            <c:numRef>
              <c:f>Sheet1!$F$35:$F$46</c:f>
              <c:numCache>
                <c:formatCode>#,##0</c:formatCode>
                <c:ptCount val="8"/>
                <c:pt idx="0">
                  <c:v>0</c:v>
                </c:pt>
                <c:pt idx="1">
                  <c:v>10846</c:v>
                </c:pt>
                <c:pt idx="2">
                  <c:v>13412</c:v>
                </c:pt>
                <c:pt idx="3">
                  <c:v>14764</c:v>
                </c:pt>
                <c:pt idx="4">
                  <c:v>17856</c:v>
                </c:pt>
                <c:pt idx="5">
                  <c:v>9860</c:v>
                </c:pt>
                <c:pt idx="6">
                  <c:v>6192</c:v>
                </c:pt>
                <c:pt idx="7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729600"/>
        <c:axId val="56731136"/>
      </c:barChart>
      <c:catAx>
        <c:axId val="56729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7311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731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729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"/>
          <c:y val="0.42567567567567566"/>
          <c:w val="0.31399999999999995"/>
          <c:h val="0.2533783783783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16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27</xdr:row>
      <xdr:rowOff>142875</xdr:rowOff>
    </xdr:from>
    <xdr:to>
      <xdr:col>8</xdr:col>
      <xdr:colOff>352425</xdr:colOff>
      <xdr:row>49</xdr:row>
      <xdr:rowOff>47625</xdr:rowOff>
    </xdr:to>
    <xdr:graphicFrame macro="">
      <xdr:nvGraphicFramePr>
        <xdr:cNvPr id="10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5:H65"/>
  <sheetViews>
    <sheetView topLeftCell="A7" workbookViewId="0">
      <selection activeCell="L49" sqref="L49"/>
    </sheetView>
  </sheetViews>
  <sheetFormatPr defaultRowHeight="12.75" x14ac:dyDescent="0.2"/>
  <cols>
    <col min="3" max="3" width="10.5703125" customWidth="1"/>
    <col min="4" max="4" width="11.7109375" customWidth="1"/>
    <col min="5" max="5" width="12.28515625" customWidth="1"/>
    <col min="6" max="6" width="12.140625" customWidth="1"/>
    <col min="7" max="7" width="15.28515625" customWidth="1"/>
  </cols>
  <sheetData>
    <row r="15" hidden="1" x14ac:dyDescent="0.2"/>
    <row r="16" hidden="1" x14ac:dyDescent="0.2"/>
    <row r="17" spans="4:8" hidden="1" x14ac:dyDescent="0.2">
      <c r="G17" s="4"/>
      <c r="H17" s="1"/>
    </row>
    <row r="18" spans="4:8" hidden="1" x14ac:dyDescent="0.2">
      <c r="D18" s="3"/>
    </row>
    <row r="33" spans="4:6" x14ac:dyDescent="0.2">
      <c r="D33" t="s">
        <v>4</v>
      </c>
      <c r="E33" t="s">
        <v>5</v>
      </c>
      <c r="F33" t="s">
        <v>6</v>
      </c>
    </row>
    <row r="34" spans="4:6" x14ac:dyDescent="0.2">
      <c r="D34" t="s">
        <v>9</v>
      </c>
      <c r="E34" t="s">
        <v>10</v>
      </c>
      <c r="F34" t="s">
        <v>11</v>
      </c>
    </row>
    <row r="35" spans="4:6" hidden="1" x14ac:dyDescent="0.2"/>
    <row r="36" spans="4:6" hidden="1" x14ac:dyDescent="0.2"/>
    <row r="37" spans="4:6" hidden="1" x14ac:dyDescent="0.2">
      <c r="D37" t="s">
        <v>14</v>
      </c>
      <c r="E37">
        <f>SUM(E39:E46)</f>
        <v>11484</v>
      </c>
      <c r="F37">
        <f>SUM(F39:F46)</f>
        <v>74660</v>
      </c>
    </row>
    <row r="38" spans="4:6" hidden="1" x14ac:dyDescent="0.2"/>
    <row r="39" spans="4:6" x14ac:dyDescent="0.2">
      <c r="D39" t="s">
        <v>15</v>
      </c>
      <c r="E39">
        <v>2509</v>
      </c>
      <c r="F39">
        <v>0</v>
      </c>
    </row>
    <row r="40" spans="4:6" x14ac:dyDescent="0.2">
      <c r="D40" t="s">
        <v>16</v>
      </c>
      <c r="E40">
        <v>5021</v>
      </c>
      <c r="F40">
        <v>10846</v>
      </c>
    </row>
    <row r="41" spans="4:6" x14ac:dyDescent="0.2">
      <c r="D41" t="s">
        <v>17</v>
      </c>
      <c r="E41">
        <v>2051</v>
      </c>
      <c r="F41">
        <v>13412</v>
      </c>
    </row>
    <row r="42" spans="4:6" x14ac:dyDescent="0.2">
      <c r="D42" s="3" t="s">
        <v>56</v>
      </c>
      <c r="E42">
        <v>1105</v>
      </c>
      <c r="F42">
        <v>14764</v>
      </c>
    </row>
    <row r="43" spans="4:6" x14ac:dyDescent="0.2">
      <c r="D43" t="s">
        <v>18</v>
      </c>
      <c r="E43">
        <v>600</v>
      </c>
      <c r="F43">
        <v>17856</v>
      </c>
    </row>
    <row r="44" spans="4:6" x14ac:dyDescent="0.2">
      <c r="D44" t="s">
        <v>19</v>
      </c>
      <c r="E44">
        <v>147</v>
      </c>
      <c r="F44">
        <v>9860</v>
      </c>
    </row>
    <row r="45" spans="4:6" x14ac:dyDescent="0.2">
      <c r="D45" t="s">
        <v>20</v>
      </c>
      <c r="E45">
        <v>46</v>
      </c>
      <c r="F45">
        <v>6192</v>
      </c>
    </row>
    <row r="46" spans="4:6" x14ac:dyDescent="0.2">
      <c r="D46" t="s">
        <v>22</v>
      </c>
      <c r="E46">
        <v>5</v>
      </c>
      <c r="F46">
        <v>1730</v>
      </c>
    </row>
    <row r="58" spans="3:5" x14ac:dyDescent="0.2">
      <c r="C58" t="s">
        <v>15</v>
      </c>
      <c r="D58">
        <v>2509</v>
      </c>
      <c r="E58">
        <v>0</v>
      </c>
    </row>
    <row r="59" spans="3:5" x14ac:dyDescent="0.2">
      <c r="C59" t="s">
        <v>16</v>
      </c>
      <c r="D59">
        <v>7530</v>
      </c>
      <c r="E59">
        <v>10846</v>
      </c>
    </row>
    <row r="60" spans="3:5" x14ac:dyDescent="0.2">
      <c r="C60" t="s">
        <v>17</v>
      </c>
      <c r="D60">
        <v>2051</v>
      </c>
      <c r="E60">
        <v>13412</v>
      </c>
    </row>
    <row r="61" spans="3:5" x14ac:dyDescent="0.2">
      <c r="C61" s="3" t="s">
        <v>56</v>
      </c>
      <c r="D61">
        <v>1105</v>
      </c>
      <c r="E61">
        <v>14764</v>
      </c>
    </row>
    <row r="62" spans="3:5" x14ac:dyDescent="0.2">
      <c r="C62" t="s">
        <v>18</v>
      </c>
      <c r="D62">
        <v>600</v>
      </c>
      <c r="E62">
        <v>17856</v>
      </c>
    </row>
    <row r="63" spans="3:5" x14ac:dyDescent="0.2">
      <c r="C63" t="s">
        <v>19</v>
      </c>
      <c r="D63">
        <v>147</v>
      </c>
      <c r="E63">
        <v>9860</v>
      </c>
    </row>
    <row r="64" spans="3:5" x14ac:dyDescent="0.2">
      <c r="C64" t="s">
        <v>20</v>
      </c>
      <c r="D64">
        <v>46</v>
      </c>
      <c r="E64">
        <v>6192</v>
      </c>
    </row>
    <row r="65" spans="3:5" x14ac:dyDescent="0.2">
      <c r="C65" t="s">
        <v>22</v>
      </c>
      <c r="D65">
        <v>5</v>
      </c>
      <c r="E65">
        <v>1730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C782"/>
  <sheetViews>
    <sheetView tabSelected="1" zoomScaleNormal="100" workbookViewId="0">
      <selection activeCell="O6" sqref="O6"/>
    </sheetView>
  </sheetViews>
  <sheetFormatPr defaultRowHeight="12.75" x14ac:dyDescent="0.2"/>
  <cols>
    <col min="1" max="1" width="12.7109375" customWidth="1"/>
    <col min="2" max="2" width="20.140625" customWidth="1"/>
    <col min="3" max="3" width="13.7109375" customWidth="1"/>
    <col min="4" max="4" width="15.85546875" customWidth="1"/>
    <col min="5" max="5" width="11.7109375" customWidth="1"/>
    <col min="6" max="6" width="6.7109375" customWidth="1"/>
    <col min="7" max="7" width="12.7109375" customWidth="1"/>
    <col min="8" max="8" width="14.7109375" customWidth="1"/>
    <col min="9" max="9" width="13.7109375" customWidth="1"/>
    <col min="10" max="10" width="17" customWidth="1"/>
    <col min="11" max="11" width="11.7109375" customWidth="1"/>
    <col min="13" max="13" width="12.7109375" customWidth="1"/>
    <col min="14" max="14" width="11.7109375" customWidth="1"/>
    <col min="15" max="15" width="12.7109375" customWidth="1"/>
    <col min="16" max="16" width="14.7109375" customWidth="1"/>
    <col min="17" max="17" width="12.7109375" customWidth="1"/>
    <col min="18" max="18" width="11.140625" bestFit="1" customWidth="1"/>
    <col min="19" max="19" width="12.7109375" customWidth="1"/>
    <col min="20" max="20" width="14.7109375" customWidth="1"/>
    <col min="21" max="21" width="11.7109375" customWidth="1"/>
    <col min="22" max="22" width="14.7109375" customWidth="1"/>
    <col min="23" max="23" width="11.7109375" customWidth="1"/>
    <col min="24" max="25" width="11.140625" bestFit="1" customWidth="1"/>
    <col min="28" max="28" width="10.7109375" customWidth="1"/>
    <col min="32" max="32" width="3.7109375" customWidth="1"/>
    <col min="36" max="36" width="4.7109375" customWidth="1"/>
    <col min="37" max="37" width="15.7109375" customWidth="1"/>
    <col min="41" max="41" width="12.7109375" customWidth="1"/>
    <col min="42" max="43" width="11.7109375" customWidth="1"/>
    <col min="44" max="44" width="14.7109375" customWidth="1"/>
    <col min="45" max="45" width="11.7109375" customWidth="1"/>
    <col min="47" max="47" width="12.7109375" customWidth="1"/>
    <col min="48" max="49" width="11.7109375" customWidth="1"/>
    <col min="50" max="50" width="14.7109375" customWidth="1"/>
    <col min="51" max="51" width="11.7109375" customWidth="1"/>
    <col min="53" max="55" width="11.7109375" customWidth="1"/>
    <col min="56" max="56" width="14.7109375" customWidth="1"/>
    <col min="57" max="57" width="11.7109375" customWidth="1"/>
    <col min="59" max="61" width="11.7109375" customWidth="1"/>
    <col min="62" max="62" width="14.7109375" customWidth="1"/>
    <col min="63" max="63" width="11.7109375" customWidth="1"/>
    <col min="65" max="65" width="12.7109375" customWidth="1"/>
    <col min="66" max="67" width="11.7109375" customWidth="1"/>
    <col min="68" max="68" width="14.7109375" customWidth="1"/>
    <col min="69" max="69" width="11.7109375" customWidth="1"/>
    <col min="71" max="71" width="12.7109375" customWidth="1"/>
    <col min="72" max="73" width="11.7109375" customWidth="1"/>
    <col min="74" max="74" width="14.7109375" customWidth="1"/>
    <col min="75" max="75" width="11.7109375" customWidth="1"/>
  </cols>
  <sheetData>
    <row r="4" spans="1:13" ht="12.75" customHeight="1" x14ac:dyDescent="0.2">
      <c r="A4" s="45" t="s">
        <v>74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3" x14ac:dyDescent="0.2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3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3" s="14" customFormat="1" x14ac:dyDescent="0.2">
      <c r="A7" s="43" t="s">
        <v>0</v>
      </c>
      <c r="B7" s="43"/>
      <c r="C7" s="43"/>
      <c r="D7" s="43"/>
      <c r="E7" s="43"/>
      <c r="F7" s="13"/>
      <c r="G7" s="43" t="s">
        <v>1</v>
      </c>
      <c r="H7" s="43"/>
      <c r="I7" s="43"/>
      <c r="J7" s="43"/>
      <c r="K7" s="43"/>
    </row>
    <row r="8" spans="1:13" s="14" customForma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3" s="14" customFormat="1" x14ac:dyDescent="0.2">
      <c r="A9" s="15"/>
      <c r="B9" s="15"/>
      <c r="C9" s="15"/>
      <c r="D9" s="15" t="s">
        <v>2</v>
      </c>
      <c r="E9" s="15" t="s">
        <v>3</v>
      </c>
      <c r="F9" s="13"/>
      <c r="G9" s="15"/>
      <c r="H9" s="15"/>
      <c r="I9" s="15"/>
      <c r="J9" s="15" t="s">
        <v>2</v>
      </c>
      <c r="K9" s="15" t="s">
        <v>3</v>
      </c>
    </row>
    <row r="10" spans="1:13" s="14" customFormat="1" x14ac:dyDescent="0.2">
      <c r="A10" s="16" t="s">
        <v>4</v>
      </c>
      <c r="B10" s="15" t="s">
        <v>5</v>
      </c>
      <c r="C10" s="15" t="s">
        <v>6</v>
      </c>
      <c r="D10" s="15" t="s">
        <v>7</v>
      </c>
      <c r="E10" s="15" t="s">
        <v>8</v>
      </c>
      <c r="F10" s="13"/>
      <c r="G10" s="16" t="s">
        <v>4</v>
      </c>
      <c r="H10" s="15" t="s">
        <v>5</v>
      </c>
      <c r="I10" s="15" t="s">
        <v>6</v>
      </c>
      <c r="J10" s="15" t="s">
        <v>7</v>
      </c>
      <c r="K10" s="15" t="s">
        <v>8</v>
      </c>
    </row>
    <row r="11" spans="1:13" s="14" customFormat="1" x14ac:dyDescent="0.2">
      <c r="A11" s="16" t="s">
        <v>9</v>
      </c>
      <c r="B11" s="15" t="s">
        <v>10</v>
      </c>
      <c r="C11" s="15" t="s">
        <v>11</v>
      </c>
      <c r="D11" s="15" t="s">
        <v>12</v>
      </c>
      <c r="E11" s="15" t="s">
        <v>13</v>
      </c>
      <c r="F11" s="13"/>
      <c r="G11" s="16" t="s">
        <v>9</v>
      </c>
      <c r="H11" s="15" t="s">
        <v>10</v>
      </c>
      <c r="I11" s="15" t="s">
        <v>11</v>
      </c>
      <c r="J11" s="15" t="s">
        <v>12</v>
      </c>
      <c r="K11" s="15" t="s">
        <v>13</v>
      </c>
    </row>
    <row r="14" spans="1:13" s="14" customFormat="1" x14ac:dyDescent="0.2">
      <c r="A14" s="14" t="s">
        <v>14</v>
      </c>
      <c r="B14" s="14">
        <f>SUM(B16:B25)</f>
        <v>95647</v>
      </c>
      <c r="C14" s="14">
        <f>SUM(C17:C25)</f>
        <v>1453692</v>
      </c>
      <c r="D14" s="17">
        <f>SUM(D16:D25)</f>
        <v>16620533015</v>
      </c>
      <c r="E14" s="18">
        <f>11522/3</f>
        <v>3840.6666666666665</v>
      </c>
      <c r="G14" s="14" t="s">
        <v>14</v>
      </c>
      <c r="H14" s="14">
        <f>SUM(H16:H25)</f>
        <v>537</v>
      </c>
      <c r="I14" s="14">
        <f>SUM(I16:I25)</f>
        <v>8361</v>
      </c>
      <c r="J14" s="14">
        <f>SUM(J16:J25)</f>
        <v>172318520</v>
      </c>
      <c r="K14" s="14">
        <f>21062/3</f>
        <v>7020.666666666667</v>
      </c>
    </row>
    <row r="15" spans="1:13" x14ac:dyDescent="0.2">
      <c r="L15" s="24"/>
      <c r="M15" s="24"/>
    </row>
    <row r="16" spans="1:13" x14ac:dyDescent="0.2">
      <c r="A16" t="s">
        <v>15</v>
      </c>
      <c r="B16">
        <f t="shared" ref="B16:D21" si="0">H16+B38+H38+B68+B116+H116+B137+H137+B166+H166+B187+H187+H215+B215+H236+B236+B264+H68</f>
        <v>11924</v>
      </c>
      <c r="C16">
        <f t="shared" si="0"/>
        <v>0</v>
      </c>
      <c r="D16">
        <f t="shared" si="0"/>
        <v>61923431</v>
      </c>
      <c r="E16">
        <f>13458/3</f>
        <v>4486</v>
      </c>
      <c r="G16" t="s">
        <v>15</v>
      </c>
      <c r="H16">
        <v>79</v>
      </c>
      <c r="I16">
        <v>0</v>
      </c>
      <c r="J16">
        <v>339160</v>
      </c>
      <c r="K16">
        <f>25437/3</f>
        <v>8479</v>
      </c>
      <c r="L16" s="24"/>
      <c r="M16" s="24"/>
    </row>
    <row r="17" spans="1:13" x14ac:dyDescent="0.2">
      <c r="A17" t="s">
        <v>16</v>
      </c>
      <c r="B17">
        <f t="shared" si="0"/>
        <v>44540</v>
      </c>
      <c r="C17">
        <f t="shared" si="0"/>
        <v>81858</v>
      </c>
      <c r="D17">
        <f t="shared" si="0"/>
        <v>1023347117</v>
      </c>
      <c r="E17">
        <f>12680/3</f>
        <v>4226.666666666667</v>
      </c>
      <c r="G17" t="s">
        <v>16</v>
      </c>
      <c r="H17">
        <v>214</v>
      </c>
      <c r="I17">
        <v>380</v>
      </c>
      <c r="J17">
        <v>5640043</v>
      </c>
      <c r="K17">
        <f>14947/3</f>
        <v>4982.333333333333</v>
      </c>
      <c r="L17" s="24"/>
      <c r="M17" s="24"/>
    </row>
    <row r="18" spans="1:13" x14ac:dyDescent="0.2">
      <c r="A18" t="s">
        <v>17</v>
      </c>
      <c r="B18">
        <f t="shared" si="0"/>
        <v>14667</v>
      </c>
      <c r="C18">
        <f t="shared" si="0"/>
        <v>97419</v>
      </c>
      <c r="D18">
        <f t="shared" si="0"/>
        <v>923788325</v>
      </c>
      <c r="E18">
        <f>9663/3</f>
        <v>3221</v>
      </c>
      <c r="G18" t="s">
        <v>17</v>
      </c>
      <c r="H18">
        <v>81</v>
      </c>
      <c r="I18">
        <v>531</v>
      </c>
      <c r="J18">
        <v>7570064</v>
      </c>
      <c r="K18">
        <f>14902/3</f>
        <v>4967.333333333333</v>
      </c>
      <c r="L18" s="24"/>
      <c r="M18" s="24"/>
    </row>
    <row r="19" spans="1:13" x14ac:dyDescent="0.2">
      <c r="A19" t="s">
        <v>56</v>
      </c>
      <c r="B19">
        <f t="shared" si="0"/>
        <v>11209</v>
      </c>
      <c r="C19">
        <f t="shared" si="0"/>
        <v>152619</v>
      </c>
      <c r="D19">
        <f t="shared" si="0"/>
        <v>1413971539</v>
      </c>
      <c r="E19">
        <f>9432/3</f>
        <v>3144</v>
      </c>
      <c r="G19" t="s">
        <v>56</v>
      </c>
      <c r="H19">
        <v>84</v>
      </c>
      <c r="I19">
        <v>1092</v>
      </c>
      <c r="J19">
        <v>15664460</v>
      </c>
      <c r="K19">
        <f>14801/3</f>
        <v>4933.666666666667</v>
      </c>
      <c r="L19" s="24"/>
      <c r="M19" s="24"/>
    </row>
    <row r="20" spans="1:13" x14ac:dyDescent="0.2">
      <c r="A20" t="s">
        <v>18</v>
      </c>
      <c r="B20">
        <f t="shared" si="0"/>
        <v>8190</v>
      </c>
      <c r="C20">
        <f t="shared" si="0"/>
        <v>248523</v>
      </c>
      <c r="D20">
        <f t="shared" si="0"/>
        <v>2479141014</v>
      </c>
      <c r="E20">
        <f>10136/3</f>
        <v>3378.6666666666665</v>
      </c>
      <c r="G20" t="s">
        <v>18</v>
      </c>
      <c r="H20">
        <v>46</v>
      </c>
      <c r="I20">
        <v>1377</v>
      </c>
      <c r="J20">
        <v>26405260</v>
      </c>
      <c r="K20">
        <f>19958/3</f>
        <v>6652.666666666667</v>
      </c>
      <c r="L20" s="24"/>
      <c r="M20" s="24"/>
    </row>
    <row r="21" spans="1:13" x14ac:dyDescent="0.2">
      <c r="A21" t="s">
        <v>19</v>
      </c>
      <c r="B21">
        <f t="shared" si="0"/>
        <v>2997</v>
      </c>
      <c r="C21">
        <f t="shared" si="0"/>
        <v>206103</v>
      </c>
      <c r="D21">
        <f t="shared" si="0"/>
        <v>2149149058</v>
      </c>
      <c r="E21">
        <f>10515/3</f>
        <v>3505</v>
      </c>
      <c r="G21" t="s">
        <v>19</v>
      </c>
      <c r="H21">
        <v>19</v>
      </c>
      <c r="I21">
        <v>1276</v>
      </c>
      <c r="J21">
        <v>24658187</v>
      </c>
      <c r="K21">
        <f>19880/3</f>
        <v>6626.666666666667</v>
      </c>
      <c r="L21" s="24"/>
      <c r="M21" s="24"/>
    </row>
    <row r="22" spans="1:13" x14ac:dyDescent="0.2">
      <c r="A22" t="s">
        <v>20</v>
      </c>
      <c r="B22">
        <v>1501</v>
      </c>
      <c r="C22">
        <v>223185</v>
      </c>
      <c r="D22">
        <v>2621955404</v>
      </c>
      <c r="E22">
        <f>11894/3</f>
        <v>3964.6666666666665</v>
      </c>
      <c r="G22" t="s">
        <v>20</v>
      </c>
      <c r="H22">
        <v>9</v>
      </c>
      <c r="I22">
        <v>1507</v>
      </c>
      <c r="J22">
        <v>41740283</v>
      </c>
      <c r="K22">
        <f>28127/3</f>
        <v>9375.6666666666661</v>
      </c>
      <c r="L22" s="24"/>
      <c r="M22" s="24"/>
    </row>
    <row r="23" spans="1:13" x14ac:dyDescent="0.2">
      <c r="A23" t="s">
        <v>21</v>
      </c>
      <c r="B23">
        <v>376</v>
      </c>
      <c r="C23">
        <v>128899</v>
      </c>
      <c r="D23">
        <v>1732009693</v>
      </c>
      <c r="E23">
        <f>13479/3</f>
        <v>4493</v>
      </c>
      <c r="G23" t="s">
        <v>22</v>
      </c>
      <c r="H23">
        <v>5</v>
      </c>
      <c r="I23">
        <f>1402+796</f>
        <v>2198</v>
      </c>
      <c r="J23">
        <f>30869195+19431868</f>
        <v>50301063</v>
      </c>
      <c r="K23">
        <f>(30869195+19431868)/(794+792+796+1036+1388+1402)</f>
        <v>8102.6196842783502</v>
      </c>
      <c r="L23" s="24"/>
      <c r="M23" s="24"/>
    </row>
    <row r="24" spans="1:13" x14ac:dyDescent="0.2">
      <c r="A24" t="s">
        <v>23</v>
      </c>
      <c r="B24">
        <v>163</v>
      </c>
      <c r="C24">
        <v>108618</v>
      </c>
      <c r="D24">
        <v>1492014077</v>
      </c>
      <c r="E24">
        <f>13795/3</f>
        <v>4598.333333333333</v>
      </c>
      <c r="L24" s="24"/>
      <c r="M24" s="24"/>
    </row>
    <row r="25" spans="1:13" x14ac:dyDescent="0.2">
      <c r="A25" t="s">
        <v>57</v>
      </c>
      <c r="B25">
        <v>80</v>
      </c>
      <c r="C25">
        <v>206468</v>
      </c>
      <c r="D25">
        <v>2723233357</v>
      </c>
      <c r="E25">
        <f>13240/3</f>
        <v>4413.333333333333</v>
      </c>
      <c r="L25" s="24"/>
      <c r="M25" s="24"/>
    </row>
    <row r="28" spans="1:13" x14ac:dyDescent="0.2">
      <c r="C28" s="25"/>
    </row>
    <row r="29" spans="1:13" x14ac:dyDescent="0.2">
      <c r="A29" s="43" t="s">
        <v>25</v>
      </c>
      <c r="B29" s="43"/>
      <c r="C29" s="43"/>
      <c r="D29" s="43"/>
      <c r="E29" s="43"/>
      <c r="F29" s="13"/>
      <c r="G29" s="43" t="s">
        <v>26</v>
      </c>
      <c r="H29" s="43"/>
      <c r="I29" s="43"/>
      <c r="J29" s="43"/>
      <c r="K29" s="43"/>
    </row>
    <row r="30" spans="1:13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1:13" x14ac:dyDescent="0.2">
      <c r="A31" s="15"/>
      <c r="B31" s="15"/>
      <c r="C31" s="15"/>
      <c r="D31" s="15" t="s">
        <v>2</v>
      </c>
      <c r="E31" s="15" t="s">
        <v>3</v>
      </c>
      <c r="F31" s="13"/>
      <c r="G31" s="15"/>
      <c r="H31" s="15"/>
      <c r="I31" s="15"/>
      <c r="J31" s="15" t="s">
        <v>2</v>
      </c>
      <c r="K31" s="15" t="s">
        <v>3</v>
      </c>
    </row>
    <row r="32" spans="1:13" x14ac:dyDescent="0.2">
      <c r="A32" s="16" t="s">
        <v>4</v>
      </c>
      <c r="B32" s="15" t="s">
        <v>5</v>
      </c>
      <c r="C32" s="15" t="s">
        <v>6</v>
      </c>
      <c r="D32" s="15" t="s">
        <v>7</v>
      </c>
      <c r="E32" s="15" t="s">
        <v>8</v>
      </c>
      <c r="F32" s="13"/>
      <c r="G32" s="16" t="s">
        <v>4</v>
      </c>
      <c r="H32" s="15" t="s">
        <v>5</v>
      </c>
      <c r="I32" s="15" t="s">
        <v>6</v>
      </c>
      <c r="J32" s="15" t="s">
        <v>7</v>
      </c>
      <c r="K32" s="15" t="s">
        <v>8</v>
      </c>
    </row>
    <row r="33" spans="1:12" x14ac:dyDescent="0.2">
      <c r="A33" s="16" t="s">
        <v>9</v>
      </c>
      <c r="B33" s="15" t="s">
        <v>10</v>
      </c>
      <c r="C33" s="15" t="s">
        <v>11</v>
      </c>
      <c r="D33" s="15" t="s">
        <v>12</v>
      </c>
      <c r="E33" s="15" t="s">
        <v>13</v>
      </c>
      <c r="F33" s="13"/>
      <c r="G33" s="16" t="s">
        <v>9</v>
      </c>
      <c r="H33" s="15" t="s">
        <v>10</v>
      </c>
      <c r="I33" s="15" t="s">
        <v>11</v>
      </c>
      <c r="J33" s="15" t="s">
        <v>12</v>
      </c>
      <c r="K33" s="15" t="s">
        <v>13</v>
      </c>
    </row>
    <row r="35" spans="1:12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2" s="14" customFormat="1" x14ac:dyDescent="0.2">
      <c r="A36" s="27" t="s">
        <v>27</v>
      </c>
      <c r="B36" s="27">
        <f>SUM(B38:B46)</f>
        <v>246</v>
      </c>
      <c r="C36" s="27">
        <f>SUM(C38:C46)</f>
        <v>3916</v>
      </c>
      <c r="D36" s="28">
        <f>SUM(D38:D46)</f>
        <v>93738869</v>
      </c>
      <c r="E36" s="28">
        <f>24085/3</f>
        <v>8028.333333333333</v>
      </c>
      <c r="F36" s="27"/>
      <c r="G36" s="27" t="s">
        <v>14</v>
      </c>
      <c r="H36" s="27">
        <f>SUM(H38:H47)</f>
        <v>10560</v>
      </c>
      <c r="I36" s="27">
        <f>SUM(I38:I47)</f>
        <v>92934</v>
      </c>
      <c r="J36" s="28">
        <f>SUM(J38:J47)</f>
        <v>1055157161</v>
      </c>
      <c r="K36" s="29">
        <f>11688/3</f>
        <v>3896</v>
      </c>
      <c r="L36" s="22"/>
    </row>
    <row r="37" spans="1:12" x14ac:dyDescent="0.2">
      <c r="A37" s="30" t="s">
        <v>28</v>
      </c>
      <c r="B37" s="30" t="s">
        <v>28</v>
      </c>
      <c r="C37" s="30"/>
      <c r="D37" s="30"/>
      <c r="E37" s="30"/>
      <c r="F37" s="30"/>
      <c r="G37" s="30"/>
      <c r="H37" s="30"/>
      <c r="I37" s="30"/>
      <c r="J37" s="30"/>
      <c r="K37" s="30"/>
      <c r="L37" s="24"/>
    </row>
    <row r="38" spans="1:12" x14ac:dyDescent="0.2">
      <c r="A38" s="30" t="s">
        <v>15</v>
      </c>
      <c r="B38" s="30">
        <v>18</v>
      </c>
      <c r="C38" s="30">
        <v>0</v>
      </c>
      <c r="D38" s="30">
        <v>19737</v>
      </c>
      <c r="E38" s="30">
        <f>4934/3</f>
        <v>1644.6666666666667</v>
      </c>
      <c r="F38" s="30"/>
      <c r="G38" s="30" t="s">
        <v>15</v>
      </c>
      <c r="H38" s="30">
        <v>1503</v>
      </c>
      <c r="I38" s="30">
        <v>0</v>
      </c>
      <c r="J38" s="30">
        <v>5269749</v>
      </c>
      <c r="K38" s="30">
        <f>100346/3</f>
        <v>33448.666666666664</v>
      </c>
      <c r="L38" s="24"/>
    </row>
    <row r="39" spans="1:12" x14ac:dyDescent="0.2">
      <c r="A39" s="30" t="s">
        <v>16</v>
      </c>
      <c r="B39" s="30">
        <v>121</v>
      </c>
      <c r="C39" s="30">
        <v>250</v>
      </c>
      <c r="D39" s="30">
        <v>3102129</v>
      </c>
      <c r="E39" s="30">
        <f>12559/3</f>
        <v>4186.333333333333</v>
      </c>
      <c r="F39" s="30"/>
      <c r="G39" s="30" t="s">
        <v>16</v>
      </c>
      <c r="H39" s="30">
        <v>5135</v>
      </c>
      <c r="I39" s="30">
        <v>10388</v>
      </c>
      <c r="J39" s="30">
        <v>86898749</v>
      </c>
      <c r="K39" s="30">
        <f>8585/3</f>
        <v>2861.6666666666665</v>
      </c>
      <c r="L39" s="24"/>
    </row>
    <row r="40" spans="1:12" x14ac:dyDescent="0.2">
      <c r="A40" s="30" t="s">
        <v>17</v>
      </c>
      <c r="B40" s="30">
        <v>42</v>
      </c>
      <c r="C40" s="30">
        <v>289</v>
      </c>
      <c r="D40" s="30">
        <v>6066884</v>
      </c>
      <c r="E40" s="30">
        <f>21771/3</f>
        <v>7257</v>
      </c>
      <c r="F40" s="30"/>
      <c r="G40" s="30" t="s">
        <v>17</v>
      </c>
      <c r="H40" s="30">
        <v>1844</v>
      </c>
      <c r="I40" s="30">
        <v>12027</v>
      </c>
      <c r="J40" s="30">
        <v>103913622</v>
      </c>
      <c r="K40" s="30">
        <f>8985/3</f>
        <v>2995</v>
      </c>
      <c r="L40" s="24"/>
    </row>
    <row r="41" spans="1:12" x14ac:dyDescent="0.2">
      <c r="A41" s="31" t="s">
        <v>56</v>
      </c>
      <c r="B41" s="30">
        <v>24</v>
      </c>
      <c r="C41" s="30">
        <v>325</v>
      </c>
      <c r="D41" s="30">
        <v>5997208</v>
      </c>
      <c r="E41" s="30">
        <f>19019/3</f>
        <v>6339.666666666667</v>
      </c>
      <c r="F41" s="30"/>
      <c r="G41" s="31" t="s">
        <v>56</v>
      </c>
      <c r="H41" s="30">
        <v>1107</v>
      </c>
      <c r="I41" s="30">
        <v>14991</v>
      </c>
      <c r="J41" s="30">
        <v>147430558</v>
      </c>
      <c r="K41" s="30">
        <f>10102/3</f>
        <v>3367.3333333333335</v>
      </c>
      <c r="L41" s="24"/>
    </row>
    <row r="42" spans="1:12" x14ac:dyDescent="0.2">
      <c r="A42" s="30" t="s">
        <v>18</v>
      </c>
      <c r="B42" s="30">
        <v>24</v>
      </c>
      <c r="C42" s="30">
        <v>671</v>
      </c>
      <c r="D42" s="30">
        <v>16916150</v>
      </c>
      <c r="E42" s="30">
        <f>25387/3</f>
        <v>8462.3333333333339</v>
      </c>
      <c r="F42" s="30"/>
      <c r="G42" s="30" t="s">
        <v>18</v>
      </c>
      <c r="H42" s="30">
        <v>701</v>
      </c>
      <c r="I42" s="30">
        <v>21020</v>
      </c>
      <c r="J42" s="30">
        <v>255982701</v>
      </c>
      <c r="K42" s="30">
        <f>12580/3</f>
        <v>4193.333333333333</v>
      </c>
      <c r="L42" s="24"/>
    </row>
    <row r="43" spans="1:12" x14ac:dyDescent="0.2">
      <c r="A43" s="30" t="s">
        <v>19</v>
      </c>
      <c r="B43" s="30">
        <v>9</v>
      </c>
      <c r="C43" s="30">
        <v>607</v>
      </c>
      <c r="D43" s="30">
        <v>18098288</v>
      </c>
      <c r="E43" s="30">
        <f>29508/3</f>
        <v>9836</v>
      </c>
      <c r="F43" s="30"/>
      <c r="G43" s="30" t="s">
        <v>19</v>
      </c>
      <c r="H43" s="30">
        <v>170</v>
      </c>
      <c r="I43" s="30">
        <v>11605</v>
      </c>
      <c r="J43" s="30">
        <v>147181086</v>
      </c>
      <c r="K43" s="30">
        <f>13180/3</f>
        <v>4393.333333333333</v>
      </c>
      <c r="L43" s="24"/>
    </row>
    <row r="44" spans="1:12" x14ac:dyDescent="0.2">
      <c r="A44" s="30" t="s">
        <v>38</v>
      </c>
      <c r="B44" s="30">
        <v>8</v>
      </c>
      <c r="C44" s="30">
        <f>870+904</f>
        <v>1774</v>
      </c>
      <c r="D44" s="30">
        <f>21191969+22346504</f>
        <v>43538473</v>
      </c>
      <c r="E44" s="30">
        <f>(21191969+22346504)/(871+857+870+896+904+904)</f>
        <v>8211.7074688796674</v>
      </c>
      <c r="F44" s="30"/>
      <c r="G44" s="30" t="s">
        <v>20</v>
      </c>
      <c r="H44" s="30">
        <v>80</v>
      </c>
      <c r="I44" s="30">
        <v>11629</v>
      </c>
      <c r="J44" s="30">
        <v>146830962</v>
      </c>
      <c r="K44" s="30">
        <f>13148/3</f>
        <v>4382.666666666667</v>
      </c>
      <c r="L44" s="24"/>
    </row>
    <row r="45" spans="1:12" x14ac:dyDescent="0.2">
      <c r="A45" s="30"/>
      <c r="B45" s="30"/>
      <c r="C45" s="30"/>
      <c r="D45" s="30"/>
      <c r="E45" s="30"/>
      <c r="F45" s="30"/>
      <c r="G45" s="30" t="s">
        <v>21</v>
      </c>
      <c r="H45" s="30">
        <v>15</v>
      </c>
      <c r="I45" s="30">
        <v>5022</v>
      </c>
      <c r="J45" s="30">
        <v>82458103</v>
      </c>
      <c r="K45" s="32">
        <f>17254/3</f>
        <v>5751.333333333333</v>
      </c>
      <c r="L45" s="24"/>
    </row>
    <row r="46" spans="1:12" x14ac:dyDescent="0.2">
      <c r="A46" s="30"/>
      <c r="B46" s="30"/>
      <c r="C46" s="30"/>
      <c r="D46" s="30"/>
      <c r="E46" s="30"/>
      <c r="F46" s="30"/>
      <c r="G46" s="30" t="s">
        <v>23</v>
      </c>
      <c r="H46" s="30">
        <v>3</v>
      </c>
      <c r="I46" s="30">
        <v>1891</v>
      </c>
      <c r="J46" s="30">
        <v>23113555</v>
      </c>
      <c r="K46" s="33">
        <f>12593/3</f>
        <v>4197.666666666667</v>
      </c>
      <c r="L46" s="24"/>
    </row>
    <row r="47" spans="1:12" x14ac:dyDescent="0.2">
      <c r="A47" s="30"/>
      <c r="B47" s="30"/>
      <c r="C47" s="30"/>
      <c r="D47" s="30"/>
      <c r="E47" s="30"/>
      <c r="F47" s="30"/>
      <c r="G47" s="30" t="s">
        <v>24</v>
      </c>
      <c r="H47" s="30">
        <v>2</v>
      </c>
      <c r="I47" s="30">
        <v>4361</v>
      </c>
      <c r="J47" s="30">
        <v>56078076</v>
      </c>
      <c r="K47" s="30">
        <f>13401/3</f>
        <v>4467</v>
      </c>
      <c r="L47" s="24"/>
    </row>
    <row r="48" spans="1:12" x14ac:dyDescent="0.2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24"/>
    </row>
    <row r="49" spans="1:11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</row>
    <row r="50" spans="1:11" x14ac:dyDescent="0.2">
      <c r="A50" s="48" t="s">
        <v>62</v>
      </c>
      <c r="B50" s="49"/>
      <c r="C50" s="49"/>
      <c r="D50" s="49"/>
      <c r="E50" s="49"/>
      <c r="F50" s="49"/>
      <c r="G50" s="49"/>
      <c r="H50" s="49"/>
      <c r="I50" s="49"/>
    </row>
    <row r="54" spans="1:11" x14ac:dyDescent="0.2">
      <c r="D54" s="48"/>
      <c r="E54" s="49"/>
      <c r="F54" s="49"/>
      <c r="G54" s="49"/>
      <c r="H54" s="49"/>
    </row>
    <row r="55" spans="1:11" x14ac:dyDescent="0.2">
      <c r="D55" s="10"/>
      <c r="E55" s="11"/>
      <c r="F55" s="11"/>
      <c r="G55" s="11"/>
      <c r="H55" s="11"/>
    </row>
    <row r="56" spans="1:11" ht="14.25" x14ac:dyDescent="0.2">
      <c r="A56" s="50" t="s">
        <v>75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</row>
    <row r="57" spans="1:11" x14ac:dyDescent="0.2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</row>
    <row r="58" spans="1:1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1:11" x14ac:dyDescent="0.2">
      <c r="A59" s="43" t="s">
        <v>29</v>
      </c>
      <c r="B59" s="43"/>
      <c r="C59" s="43"/>
      <c r="D59" s="43"/>
      <c r="E59" s="43"/>
      <c r="F59" s="13"/>
      <c r="G59" s="43" t="s">
        <v>30</v>
      </c>
      <c r="H59" s="43"/>
      <c r="I59" s="43"/>
      <c r="J59" s="43"/>
      <c r="K59" s="43"/>
    </row>
    <row r="60" spans="1:1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1:11" x14ac:dyDescent="0.2">
      <c r="A61" s="15"/>
      <c r="B61" s="15"/>
      <c r="C61" s="15"/>
      <c r="D61" s="15" t="s">
        <v>2</v>
      </c>
      <c r="E61" s="15" t="s">
        <v>3</v>
      </c>
      <c r="F61" s="13"/>
      <c r="G61" s="15"/>
      <c r="H61" s="15"/>
      <c r="I61" s="15"/>
      <c r="J61" s="15" t="s">
        <v>2</v>
      </c>
      <c r="K61" s="15" t="s">
        <v>3</v>
      </c>
    </row>
    <row r="62" spans="1:11" x14ac:dyDescent="0.2">
      <c r="A62" s="16" t="s">
        <v>4</v>
      </c>
      <c r="B62" s="15" t="s">
        <v>5</v>
      </c>
      <c r="C62" s="15" t="s">
        <v>6</v>
      </c>
      <c r="D62" s="15" t="s">
        <v>7</v>
      </c>
      <c r="E62" s="15" t="s">
        <v>8</v>
      </c>
      <c r="F62" s="13"/>
      <c r="G62" s="16" t="s">
        <v>4</v>
      </c>
      <c r="H62" s="15" t="s">
        <v>5</v>
      </c>
      <c r="I62" s="15" t="s">
        <v>6</v>
      </c>
      <c r="J62" s="15" t="s">
        <v>7</v>
      </c>
      <c r="K62" s="15" t="s">
        <v>8</v>
      </c>
    </row>
    <row r="63" spans="1:11" x14ac:dyDescent="0.2">
      <c r="A63" s="16" t="s">
        <v>9</v>
      </c>
      <c r="B63" s="15" t="s">
        <v>10</v>
      </c>
      <c r="C63" s="15" t="s">
        <v>11</v>
      </c>
      <c r="D63" s="15" t="s">
        <v>12</v>
      </c>
      <c r="E63" s="15" t="s">
        <v>13</v>
      </c>
      <c r="F63" s="13"/>
      <c r="G63" s="16" t="s">
        <v>9</v>
      </c>
      <c r="H63" s="15" t="s">
        <v>10</v>
      </c>
      <c r="I63" s="15" t="s">
        <v>11</v>
      </c>
      <c r="J63" s="15" t="s">
        <v>12</v>
      </c>
      <c r="K63" s="15" t="s">
        <v>13</v>
      </c>
    </row>
    <row r="66" spans="1:14" s="14" customFormat="1" x14ac:dyDescent="0.2">
      <c r="A66" s="14" t="s">
        <v>14</v>
      </c>
      <c r="B66" s="14">
        <f>SUM(B67:B77)</f>
        <v>4172</v>
      </c>
      <c r="C66" s="14">
        <f>SUM(C67:C77)</f>
        <v>128457</v>
      </c>
      <c r="D66" s="17">
        <f>SUM(D67:D77)</f>
        <v>1853946030</v>
      </c>
      <c r="E66" s="18">
        <f>14497/3</f>
        <v>4832.333333333333</v>
      </c>
      <c r="G66" s="14" t="s">
        <v>27</v>
      </c>
      <c r="H66" s="14">
        <f>SUM(H67:H77)</f>
        <v>15848</v>
      </c>
      <c r="I66" s="14">
        <f>SUM(I67:I77)</f>
        <v>214296</v>
      </c>
      <c r="J66" s="17">
        <f>SUM(J67:J77)</f>
        <v>2160947750</v>
      </c>
      <c r="K66" s="17">
        <f>10108/3</f>
        <v>3369.3333333333335</v>
      </c>
    </row>
    <row r="67" spans="1:14" x14ac:dyDescent="0.2">
      <c r="A67" s="26"/>
      <c r="B67" s="26"/>
      <c r="C67" s="26"/>
      <c r="D67" s="26"/>
      <c r="E67" s="26"/>
      <c r="F67" s="26"/>
      <c r="G67" s="26" t="s">
        <v>28</v>
      </c>
      <c r="H67" s="26"/>
      <c r="I67" s="26"/>
      <c r="J67" s="26"/>
      <c r="K67" s="26"/>
    </row>
    <row r="68" spans="1:14" x14ac:dyDescent="0.2">
      <c r="A68" s="30" t="s">
        <v>15</v>
      </c>
      <c r="B68" s="30">
        <v>335</v>
      </c>
      <c r="C68" s="30">
        <v>0</v>
      </c>
      <c r="D68" s="30">
        <v>2478418</v>
      </c>
      <c r="E68" s="30">
        <f>13301/3</f>
        <v>4433.666666666667</v>
      </c>
      <c r="F68" s="30"/>
      <c r="G68" s="30" t="s">
        <v>15</v>
      </c>
      <c r="H68" s="30">
        <f t="shared" ref="H68:J77" si="1">+B89+H89</f>
        <v>1634</v>
      </c>
      <c r="I68" s="30">
        <f t="shared" si="1"/>
        <v>0</v>
      </c>
      <c r="J68" s="30">
        <f t="shared" si="1"/>
        <v>7038463</v>
      </c>
      <c r="K68" s="30">
        <f>14077/3</f>
        <v>4692.333333333333</v>
      </c>
      <c r="L68" s="24"/>
    </row>
    <row r="69" spans="1:14" x14ac:dyDescent="0.2">
      <c r="A69" s="30" t="s">
        <v>16</v>
      </c>
      <c r="B69" s="30">
        <v>1516</v>
      </c>
      <c r="C69" s="30">
        <v>3051</v>
      </c>
      <c r="D69" s="30">
        <v>40975672</v>
      </c>
      <c r="E69" s="30">
        <f>13603/3</f>
        <v>4534.333333333333</v>
      </c>
      <c r="F69" s="30"/>
      <c r="G69" s="30" t="s">
        <v>16</v>
      </c>
      <c r="H69" s="30">
        <f t="shared" si="1"/>
        <v>6413</v>
      </c>
      <c r="I69" s="30">
        <f t="shared" si="1"/>
        <v>12591</v>
      </c>
      <c r="J69" s="30">
        <f t="shared" si="1"/>
        <v>185283277</v>
      </c>
      <c r="K69" s="30">
        <f>14748/3</f>
        <v>4916</v>
      </c>
      <c r="L69" s="24"/>
    </row>
    <row r="70" spans="1:14" x14ac:dyDescent="0.2">
      <c r="A70" s="30" t="s">
        <v>17</v>
      </c>
      <c r="B70" s="30">
        <v>701</v>
      </c>
      <c r="C70" s="30">
        <v>4685</v>
      </c>
      <c r="D70" s="30">
        <v>42801393</v>
      </c>
      <c r="E70" s="30">
        <f>9249/3</f>
        <v>3083</v>
      </c>
      <c r="F70" s="30"/>
      <c r="G70" s="30" t="s">
        <v>17</v>
      </c>
      <c r="H70" s="30">
        <f t="shared" si="1"/>
        <v>3051</v>
      </c>
      <c r="I70" s="30">
        <f t="shared" si="1"/>
        <v>20522</v>
      </c>
      <c r="J70" s="30">
        <f t="shared" si="1"/>
        <v>187885186</v>
      </c>
      <c r="K70" s="30">
        <f>9238/3</f>
        <v>3079.3333333333335</v>
      </c>
      <c r="L70" s="24"/>
    </row>
    <row r="71" spans="1:14" x14ac:dyDescent="0.2">
      <c r="A71" s="31" t="s">
        <v>56</v>
      </c>
      <c r="B71" s="30">
        <v>594</v>
      </c>
      <c r="C71" s="30">
        <v>8275</v>
      </c>
      <c r="D71" s="30">
        <v>82320312</v>
      </c>
      <c r="E71" s="30">
        <f>10117/3</f>
        <v>3372.3333333333335</v>
      </c>
      <c r="F71" s="30"/>
      <c r="G71" s="31" t="s">
        <v>56</v>
      </c>
      <c r="H71" s="30">
        <f t="shared" si="1"/>
        <v>2545</v>
      </c>
      <c r="I71" s="30">
        <f t="shared" si="1"/>
        <v>34501</v>
      </c>
      <c r="J71" s="30">
        <f t="shared" si="1"/>
        <v>306418868</v>
      </c>
      <c r="K71" s="30">
        <f>8964/3</f>
        <v>2988</v>
      </c>
      <c r="L71" s="24"/>
    </row>
    <row r="72" spans="1:14" x14ac:dyDescent="0.2">
      <c r="A72" s="30" t="s">
        <v>18</v>
      </c>
      <c r="B72" s="30">
        <v>551</v>
      </c>
      <c r="C72" s="30">
        <v>16993</v>
      </c>
      <c r="D72" s="30">
        <v>194859661</v>
      </c>
      <c r="E72" s="30">
        <f>11516/3</f>
        <v>3838.6666666666665</v>
      </c>
      <c r="F72" s="30"/>
      <c r="G72" s="30" t="s">
        <v>18</v>
      </c>
      <c r="H72" s="30">
        <f t="shared" si="1"/>
        <v>1395</v>
      </c>
      <c r="I72" s="30">
        <f t="shared" si="1"/>
        <v>41539</v>
      </c>
      <c r="J72" s="30">
        <f t="shared" si="1"/>
        <v>406076720</v>
      </c>
      <c r="K72" s="30">
        <f>9865/3</f>
        <v>3288.3333333333335</v>
      </c>
      <c r="L72" s="24"/>
    </row>
    <row r="73" spans="1:14" x14ac:dyDescent="0.2">
      <c r="A73" s="30" t="s">
        <v>19</v>
      </c>
      <c r="B73" s="30">
        <v>237</v>
      </c>
      <c r="C73" s="30">
        <v>16832</v>
      </c>
      <c r="D73" s="30">
        <v>209132143</v>
      </c>
      <c r="E73" s="30">
        <f>12528/3</f>
        <v>4176</v>
      </c>
      <c r="F73" s="30"/>
      <c r="G73" s="30" t="s">
        <v>19</v>
      </c>
      <c r="H73" s="30">
        <f t="shared" si="1"/>
        <v>428</v>
      </c>
      <c r="I73" s="30">
        <f t="shared" si="1"/>
        <v>29289</v>
      </c>
      <c r="J73" s="30">
        <f t="shared" si="1"/>
        <v>282676736</v>
      </c>
      <c r="K73" s="30">
        <f>9608/3</f>
        <v>3202.6666666666665</v>
      </c>
      <c r="L73" s="24"/>
    </row>
    <row r="74" spans="1:14" x14ac:dyDescent="0.2">
      <c r="A74" s="30" t="s">
        <v>20</v>
      </c>
      <c r="B74" s="30">
        <v>143</v>
      </c>
      <c r="C74" s="30">
        <v>22184</v>
      </c>
      <c r="D74" s="30">
        <v>312357772</v>
      </c>
      <c r="E74" s="30">
        <f>14106/3</f>
        <v>4702</v>
      </c>
      <c r="F74" s="30"/>
      <c r="G74" s="30" t="s">
        <v>20</v>
      </c>
      <c r="H74" s="30">
        <f>+B95+H95</f>
        <v>309</v>
      </c>
      <c r="I74" s="30">
        <f t="shared" si="1"/>
        <v>45944</v>
      </c>
      <c r="J74" s="30">
        <f t="shared" si="1"/>
        <v>452502914</v>
      </c>
      <c r="K74" s="30">
        <f>9946/3</f>
        <v>3315.3333333333335</v>
      </c>
      <c r="L74" s="24"/>
    </row>
    <row r="75" spans="1:14" x14ac:dyDescent="0.2">
      <c r="A75" s="30" t="s">
        <v>21</v>
      </c>
      <c r="B75" s="30">
        <v>62</v>
      </c>
      <c r="C75" s="30">
        <v>21887</v>
      </c>
      <c r="D75" s="30">
        <v>376293500</v>
      </c>
      <c r="E75" s="30">
        <f>17328/3</f>
        <v>5776</v>
      </c>
      <c r="F75" s="30"/>
      <c r="G75" s="30" t="s">
        <v>21</v>
      </c>
      <c r="H75" s="30">
        <f t="shared" ref="H75:H77" si="2">+B96+H96</f>
        <v>63</v>
      </c>
      <c r="I75" s="30">
        <f t="shared" si="1"/>
        <v>20366</v>
      </c>
      <c r="J75" s="30">
        <f t="shared" si="1"/>
        <v>189632912</v>
      </c>
      <c r="K75" s="30">
        <f>9257/3</f>
        <v>3085.6666666666665</v>
      </c>
      <c r="L75" s="24"/>
      <c r="M75" s="7"/>
      <c r="N75" s="7"/>
    </row>
    <row r="76" spans="1:14" x14ac:dyDescent="0.2">
      <c r="A76" s="30" t="s">
        <v>23</v>
      </c>
      <c r="B76" s="30">
        <v>20</v>
      </c>
      <c r="C76" s="30">
        <v>13736</v>
      </c>
      <c r="D76" s="30">
        <v>223110407</v>
      </c>
      <c r="E76" s="30">
        <f>16239/3</f>
        <v>5413</v>
      </c>
      <c r="F76" s="30"/>
      <c r="G76" s="30" t="s">
        <v>23</v>
      </c>
      <c r="H76" s="30">
        <f t="shared" si="2"/>
        <v>6</v>
      </c>
      <c r="I76" s="30">
        <f t="shared" si="1"/>
        <v>4173</v>
      </c>
      <c r="J76" s="30">
        <f t="shared" si="1"/>
        <v>60920345</v>
      </c>
      <c r="K76" s="30">
        <f>14596/3</f>
        <v>4865.333333333333</v>
      </c>
      <c r="L76" s="24"/>
      <c r="M76" s="7"/>
      <c r="N76" s="7"/>
    </row>
    <row r="77" spans="1:14" x14ac:dyDescent="0.2">
      <c r="A77" s="30" t="s">
        <v>24</v>
      </c>
      <c r="B77" s="30">
        <v>13</v>
      </c>
      <c r="C77" s="30">
        <v>20814</v>
      </c>
      <c r="D77" s="30">
        <v>369616752</v>
      </c>
      <c r="E77" s="30">
        <f>17850/3</f>
        <v>5950</v>
      </c>
      <c r="F77" s="30"/>
      <c r="G77" s="30" t="s">
        <v>24</v>
      </c>
      <c r="H77" s="30">
        <f t="shared" si="2"/>
        <v>4</v>
      </c>
      <c r="I77" s="30">
        <f t="shared" si="1"/>
        <v>5371</v>
      </c>
      <c r="J77" s="30">
        <f t="shared" si="1"/>
        <v>82512329</v>
      </c>
      <c r="K77" s="30">
        <f>15120/3</f>
        <v>5040</v>
      </c>
      <c r="L77" s="24"/>
    </row>
    <row r="78" spans="1:14" x14ac:dyDescent="0.2">
      <c r="A78" s="26"/>
      <c r="B78" s="26"/>
      <c r="C78" s="26"/>
      <c r="D78" s="26"/>
      <c r="E78" s="26"/>
      <c r="F78" s="26"/>
      <c r="G78" s="34"/>
      <c r="H78" s="34"/>
      <c r="I78" s="34"/>
      <c r="J78" s="34"/>
      <c r="K78" s="34"/>
    </row>
    <row r="80" spans="1:14" x14ac:dyDescent="0.2">
      <c r="A80" s="43" t="s">
        <v>32</v>
      </c>
      <c r="B80" s="43"/>
      <c r="C80" s="43"/>
      <c r="D80" s="43"/>
      <c r="E80" s="43"/>
      <c r="F80" s="13"/>
      <c r="G80" s="43" t="s">
        <v>33</v>
      </c>
      <c r="H80" s="43"/>
      <c r="I80" s="43"/>
      <c r="J80" s="43"/>
      <c r="K80" s="43"/>
    </row>
    <row r="81" spans="1:12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</row>
    <row r="82" spans="1:12" x14ac:dyDescent="0.2">
      <c r="A82" s="15"/>
      <c r="B82" s="15"/>
      <c r="C82" s="15"/>
      <c r="D82" s="15" t="s">
        <v>2</v>
      </c>
      <c r="E82" s="15" t="s">
        <v>3</v>
      </c>
      <c r="F82" s="13"/>
      <c r="G82" s="15"/>
      <c r="H82" s="15"/>
      <c r="I82" s="15"/>
      <c r="J82" s="15" t="s">
        <v>2</v>
      </c>
      <c r="K82" s="15" t="s">
        <v>3</v>
      </c>
    </row>
    <row r="83" spans="1:12" x14ac:dyDescent="0.2">
      <c r="A83" s="16" t="s">
        <v>4</v>
      </c>
      <c r="B83" s="15" t="s">
        <v>5</v>
      </c>
      <c r="C83" s="15" t="s">
        <v>6</v>
      </c>
      <c r="D83" s="15" t="s">
        <v>7</v>
      </c>
      <c r="E83" s="15" t="s">
        <v>8</v>
      </c>
      <c r="F83" s="13"/>
      <c r="G83" s="16" t="s">
        <v>4</v>
      </c>
      <c r="H83" s="15" t="s">
        <v>5</v>
      </c>
      <c r="I83" s="15" t="s">
        <v>6</v>
      </c>
      <c r="J83" s="15" t="s">
        <v>7</v>
      </c>
      <c r="K83" s="15" t="s">
        <v>8</v>
      </c>
    </row>
    <row r="84" spans="1:12" x14ac:dyDescent="0.2">
      <c r="A84" s="16" t="s">
        <v>9</v>
      </c>
      <c r="B84" s="15" t="s">
        <v>10</v>
      </c>
      <c r="C84" s="15" t="s">
        <v>11</v>
      </c>
      <c r="D84" s="15" t="s">
        <v>12</v>
      </c>
      <c r="E84" s="15" t="s">
        <v>13</v>
      </c>
      <c r="F84" s="13"/>
      <c r="G84" s="16" t="s">
        <v>9</v>
      </c>
      <c r="H84" s="15" t="s">
        <v>10</v>
      </c>
      <c r="I84" s="15" t="s">
        <v>11</v>
      </c>
      <c r="J84" s="15" t="s">
        <v>12</v>
      </c>
      <c r="K84" s="15" t="s">
        <v>13</v>
      </c>
    </row>
    <row r="87" spans="1:12" s="14" customFormat="1" x14ac:dyDescent="0.2">
      <c r="A87" s="14" t="s">
        <v>27</v>
      </c>
      <c r="B87" s="14">
        <f>SUM(B89:B97)</f>
        <v>5919</v>
      </c>
      <c r="C87" s="14">
        <f>SUM(C89:C97)</f>
        <v>50210</v>
      </c>
      <c r="D87" s="17">
        <f>SUM(D89:D97)</f>
        <v>850117328</v>
      </c>
      <c r="E87" s="18">
        <f>17007/3</f>
        <v>5669</v>
      </c>
      <c r="G87" s="14" t="s">
        <v>27</v>
      </c>
      <c r="H87" s="14">
        <f>SUM(H89:H98)</f>
        <v>9929</v>
      </c>
      <c r="I87" s="14">
        <f>SUM(I89:I98)</f>
        <v>164086</v>
      </c>
      <c r="J87" s="17">
        <f>SUM(J89:J98)</f>
        <v>1310830422</v>
      </c>
      <c r="K87" s="17">
        <f>8003/3</f>
        <v>2667.6666666666665</v>
      </c>
    </row>
    <row r="88" spans="1:12" x14ac:dyDescent="0.2">
      <c r="A88" s="26" t="s">
        <v>28</v>
      </c>
      <c r="B88" s="26"/>
      <c r="C88" s="26"/>
      <c r="D88" s="26"/>
      <c r="E88" s="26"/>
      <c r="F88" s="26"/>
      <c r="G88" s="26" t="s">
        <v>28</v>
      </c>
      <c r="H88" s="26"/>
      <c r="I88" s="26"/>
      <c r="J88" s="26"/>
      <c r="K88" s="26"/>
    </row>
    <row r="89" spans="1:12" x14ac:dyDescent="0.2">
      <c r="A89" s="30" t="s">
        <v>15</v>
      </c>
      <c r="B89" s="30">
        <v>580</v>
      </c>
      <c r="C89" s="30">
        <v>0</v>
      </c>
      <c r="D89" s="30">
        <v>3669131</v>
      </c>
      <c r="E89" s="30">
        <f>25539/3</f>
        <v>8513</v>
      </c>
      <c r="F89" s="30"/>
      <c r="G89" s="30" t="s">
        <v>15</v>
      </c>
      <c r="H89" s="30">
        <v>1054</v>
      </c>
      <c r="I89" s="30">
        <v>0</v>
      </c>
      <c r="J89" s="30">
        <v>3369332</v>
      </c>
      <c r="K89" s="30">
        <f>9455/3</f>
        <v>3151.6666666666665</v>
      </c>
      <c r="L89" s="24"/>
    </row>
    <row r="90" spans="1:12" x14ac:dyDescent="0.2">
      <c r="A90" s="30" t="s">
        <v>16</v>
      </c>
      <c r="B90" s="30">
        <v>3341</v>
      </c>
      <c r="C90" s="30">
        <v>5776</v>
      </c>
      <c r="D90" s="30">
        <v>127264835</v>
      </c>
      <c r="E90" s="30">
        <f>22310/3</f>
        <v>7436.666666666667</v>
      </c>
      <c r="F90" s="30"/>
      <c r="G90" s="30" t="s">
        <v>16</v>
      </c>
      <c r="H90" s="30">
        <v>3072</v>
      </c>
      <c r="I90" s="30">
        <v>6815</v>
      </c>
      <c r="J90" s="30">
        <v>58018442</v>
      </c>
      <c r="K90" s="30">
        <f>8459/3</f>
        <v>2819.6666666666665</v>
      </c>
      <c r="L90" s="24"/>
    </row>
    <row r="91" spans="1:12" x14ac:dyDescent="0.2">
      <c r="A91" s="30" t="s">
        <v>17</v>
      </c>
      <c r="B91" s="30">
        <v>866</v>
      </c>
      <c r="C91" s="30">
        <v>5764</v>
      </c>
      <c r="D91" s="30">
        <v>92074635</v>
      </c>
      <c r="E91" s="30">
        <f>16140/3</f>
        <v>5380</v>
      </c>
      <c r="F91" s="30"/>
      <c r="G91" s="30" t="s">
        <v>17</v>
      </c>
      <c r="H91" s="30">
        <v>2185</v>
      </c>
      <c r="I91" s="30">
        <v>14758</v>
      </c>
      <c r="J91" s="30">
        <v>95810551</v>
      </c>
      <c r="K91" s="30">
        <f>6547/3</f>
        <v>2182.3333333333335</v>
      </c>
      <c r="L91" s="24"/>
    </row>
    <row r="92" spans="1:12" x14ac:dyDescent="0.2">
      <c r="A92" s="31" t="s">
        <v>56</v>
      </c>
      <c r="B92" s="30">
        <v>587</v>
      </c>
      <c r="C92" s="30">
        <v>7975</v>
      </c>
      <c r="D92" s="30">
        <v>129463883</v>
      </c>
      <c r="E92" s="30">
        <f>16394/3</f>
        <v>5464.666666666667</v>
      </c>
      <c r="F92" s="30"/>
      <c r="G92" s="31" t="s">
        <v>56</v>
      </c>
      <c r="H92" s="30">
        <v>1958</v>
      </c>
      <c r="I92" s="30">
        <v>26526</v>
      </c>
      <c r="J92" s="30">
        <v>176954985</v>
      </c>
      <c r="K92" s="30">
        <f>6731/3</f>
        <v>2243.6666666666665</v>
      </c>
      <c r="L92" s="24"/>
    </row>
    <row r="93" spans="1:12" x14ac:dyDescent="0.2">
      <c r="A93" s="30" t="s">
        <v>18</v>
      </c>
      <c r="B93" s="30">
        <v>385</v>
      </c>
      <c r="C93" s="30">
        <v>11731</v>
      </c>
      <c r="D93" s="30">
        <v>199677263</v>
      </c>
      <c r="E93" s="30">
        <f>17187/3</f>
        <v>5729</v>
      </c>
      <c r="F93" s="30"/>
      <c r="G93" s="30" t="s">
        <v>18</v>
      </c>
      <c r="H93" s="30">
        <v>1010</v>
      </c>
      <c r="I93" s="30">
        <v>29808</v>
      </c>
      <c r="J93" s="30">
        <v>206399457</v>
      </c>
      <c r="K93" s="30">
        <f>6986/3</f>
        <v>2328.6666666666665</v>
      </c>
      <c r="L93" s="24"/>
    </row>
    <row r="94" spans="1:12" x14ac:dyDescent="0.2">
      <c r="A94" s="30" t="s">
        <v>19</v>
      </c>
      <c r="B94" s="30">
        <v>97</v>
      </c>
      <c r="C94" s="30">
        <v>6526</v>
      </c>
      <c r="D94" s="30">
        <v>100890678</v>
      </c>
      <c r="E94" s="30">
        <f>15453/3</f>
        <v>5151</v>
      </c>
      <c r="F94" s="30"/>
      <c r="G94" s="30" t="s">
        <v>19</v>
      </c>
      <c r="H94" s="30">
        <v>331</v>
      </c>
      <c r="I94" s="30">
        <v>22763</v>
      </c>
      <c r="J94" s="30">
        <v>181786058</v>
      </c>
      <c r="K94" s="30">
        <f>7941/3</f>
        <v>2647</v>
      </c>
      <c r="L94" s="24"/>
    </row>
    <row r="95" spans="1:12" x14ac:dyDescent="0.2">
      <c r="A95" s="30" t="s">
        <v>20</v>
      </c>
      <c r="B95" s="30">
        <v>51</v>
      </c>
      <c r="C95" s="30">
        <v>6892</v>
      </c>
      <c r="D95" s="30">
        <v>114937719</v>
      </c>
      <c r="E95" s="30">
        <f>16736/3</f>
        <v>5578.666666666667</v>
      </c>
      <c r="F95" s="30"/>
      <c r="G95" s="30" t="s">
        <v>20</v>
      </c>
      <c r="H95" s="30">
        <v>258</v>
      </c>
      <c r="I95" s="30">
        <v>39052</v>
      </c>
      <c r="J95" s="30">
        <v>337565195</v>
      </c>
      <c r="K95" s="30">
        <f>8739/3</f>
        <v>2913</v>
      </c>
      <c r="L95" s="24"/>
    </row>
    <row r="96" spans="1:12" x14ac:dyDescent="0.2">
      <c r="A96" s="30" t="s">
        <v>21</v>
      </c>
      <c r="B96" s="30">
        <v>9</v>
      </c>
      <c r="C96" s="30">
        <v>3410</v>
      </c>
      <c r="D96" s="30">
        <v>43479304</v>
      </c>
      <c r="E96" s="30">
        <f>12789/3</f>
        <v>4263</v>
      </c>
      <c r="F96" s="30"/>
      <c r="G96" s="30" t="s">
        <v>21</v>
      </c>
      <c r="H96" s="30">
        <v>54</v>
      </c>
      <c r="I96" s="30">
        <v>16956</v>
      </c>
      <c r="J96" s="30">
        <v>146153608</v>
      </c>
      <c r="K96" s="32">
        <f>8554/3</f>
        <v>2851.3333333333335</v>
      </c>
      <c r="L96" s="24"/>
    </row>
    <row r="97" spans="1:12" x14ac:dyDescent="0.2">
      <c r="A97" s="30" t="s">
        <v>31</v>
      </c>
      <c r="B97" s="30">
        <v>3</v>
      </c>
      <c r="C97" s="30">
        <v>2136</v>
      </c>
      <c r="D97" s="30">
        <v>38659880</v>
      </c>
      <c r="E97" s="30">
        <f>18213/3</f>
        <v>6071</v>
      </c>
      <c r="F97" s="30"/>
      <c r="G97" s="30" t="s">
        <v>31</v>
      </c>
      <c r="H97" s="30">
        <v>3</v>
      </c>
      <c r="I97" s="30">
        <v>2037</v>
      </c>
      <c r="J97" s="30">
        <v>22260465</v>
      </c>
      <c r="K97" s="32">
        <f>10853/3</f>
        <v>3617.6666666666665</v>
      </c>
      <c r="L97" s="24"/>
    </row>
    <row r="98" spans="1:12" x14ac:dyDescent="0.2">
      <c r="A98" s="21"/>
      <c r="B98" s="21"/>
      <c r="C98" s="21"/>
      <c r="D98" s="21"/>
      <c r="G98" s="30" t="s">
        <v>24</v>
      </c>
      <c r="H98">
        <v>4</v>
      </c>
      <c r="I98">
        <v>5371</v>
      </c>
      <c r="J98">
        <v>82512329</v>
      </c>
      <c r="K98" s="9">
        <f>15120/3</f>
        <v>5040</v>
      </c>
    </row>
    <row r="99" spans="1:12" x14ac:dyDescent="0.2">
      <c r="A99" s="21"/>
      <c r="B99" s="21"/>
      <c r="C99" s="21"/>
      <c r="D99" s="21"/>
      <c r="K99" s="9"/>
    </row>
    <row r="100" spans="1:12" x14ac:dyDescent="0.2">
      <c r="A100" s="48" t="s">
        <v>62</v>
      </c>
      <c r="B100" s="49"/>
      <c r="C100" s="49"/>
      <c r="D100" s="49"/>
      <c r="E100" s="49"/>
      <c r="F100" s="49"/>
      <c r="G100" s="49"/>
      <c r="H100" s="49"/>
      <c r="I100" s="49"/>
    </row>
    <row r="101" spans="1:12" x14ac:dyDescent="0.2">
      <c r="A101" s="48"/>
      <c r="B101" s="49"/>
      <c r="C101" s="49"/>
      <c r="D101" s="49"/>
      <c r="E101" s="49"/>
      <c r="F101" s="49"/>
      <c r="G101" s="49"/>
      <c r="H101" s="49"/>
      <c r="I101" s="49"/>
    </row>
    <row r="103" spans="1:12" x14ac:dyDescent="0.2">
      <c r="D103" s="48"/>
      <c r="E103" s="48"/>
      <c r="F103" s="48"/>
      <c r="G103" s="48"/>
      <c r="H103" s="48"/>
    </row>
    <row r="104" spans="1:12" ht="14.25" x14ac:dyDescent="0.2">
      <c r="A104" s="50" t="s">
        <v>75</v>
      </c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1:12" x14ac:dyDescent="0.2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</row>
    <row r="106" spans="1:12" x14ac:dyDescent="0.2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</row>
    <row r="107" spans="1:12" x14ac:dyDescent="0.2">
      <c r="A107" s="43" t="s">
        <v>34</v>
      </c>
      <c r="B107" s="43"/>
      <c r="C107" s="43"/>
      <c r="D107" s="43"/>
      <c r="E107" s="43"/>
      <c r="F107" s="13"/>
      <c r="G107" s="43" t="s">
        <v>35</v>
      </c>
      <c r="H107" s="43"/>
      <c r="I107" s="43"/>
      <c r="J107" s="43"/>
      <c r="K107" s="43"/>
    </row>
    <row r="108" spans="1:12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</row>
    <row r="109" spans="1:12" x14ac:dyDescent="0.2">
      <c r="A109" s="15"/>
      <c r="B109" s="15"/>
      <c r="C109" s="15"/>
      <c r="D109" s="15" t="s">
        <v>2</v>
      </c>
      <c r="E109" s="15" t="s">
        <v>3</v>
      </c>
      <c r="F109" s="13"/>
      <c r="G109" s="15"/>
      <c r="H109" s="15"/>
      <c r="I109" s="15"/>
      <c r="J109" s="15" t="s">
        <v>2</v>
      </c>
      <c r="K109" s="15" t="s">
        <v>3</v>
      </c>
    </row>
    <row r="110" spans="1:12" x14ac:dyDescent="0.2">
      <c r="A110" s="16" t="s">
        <v>4</v>
      </c>
      <c r="B110" s="15" t="s">
        <v>5</v>
      </c>
      <c r="C110" s="15" t="s">
        <v>6</v>
      </c>
      <c r="D110" s="15" t="s">
        <v>7</v>
      </c>
      <c r="E110" s="15" t="s">
        <v>8</v>
      </c>
      <c r="F110" s="13"/>
      <c r="G110" s="16" t="s">
        <v>4</v>
      </c>
      <c r="H110" s="15" t="s">
        <v>5</v>
      </c>
      <c r="I110" s="15" t="s">
        <v>6</v>
      </c>
      <c r="J110" s="15" t="s">
        <v>7</v>
      </c>
      <c r="K110" s="15" t="s">
        <v>8</v>
      </c>
    </row>
    <row r="111" spans="1:12" x14ac:dyDescent="0.2">
      <c r="A111" s="16" t="s">
        <v>9</v>
      </c>
      <c r="B111" s="15" t="s">
        <v>10</v>
      </c>
      <c r="C111" s="15" t="s">
        <v>11</v>
      </c>
      <c r="D111" s="15" t="s">
        <v>12</v>
      </c>
      <c r="E111" s="15" t="s">
        <v>13</v>
      </c>
      <c r="F111" s="13"/>
      <c r="G111" s="16" t="s">
        <v>9</v>
      </c>
      <c r="H111" s="15" t="s">
        <v>10</v>
      </c>
      <c r="I111" s="15" t="s">
        <v>11</v>
      </c>
      <c r="J111" s="15" t="s">
        <v>12</v>
      </c>
      <c r="K111" s="15" t="s">
        <v>13</v>
      </c>
    </row>
    <row r="113" spans="1:11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</row>
    <row r="114" spans="1:11" s="14" customFormat="1" x14ac:dyDescent="0.2">
      <c r="A114" s="27" t="s">
        <v>27</v>
      </c>
      <c r="B114" s="27">
        <f>SUM(B116:B125)</f>
        <v>2599</v>
      </c>
      <c r="C114" s="27">
        <f>SUM(C116:C125)</f>
        <v>54974</v>
      </c>
      <c r="D114" s="28">
        <f>SUM(D116:D125)</f>
        <v>689720416</v>
      </c>
      <c r="E114" s="29">
        <f>12582/3</f>
        <v>4194</v>
      </c>
      <c r="F114" s="27"/>
      <c r="G114" s="27" t="s">
        <v>27</v>
      </c>
      <c r="H114" s="27">
        <f>SUM(H116:H125)</f>
        <v>2287</v>
      </c>
      <c r="I114" s="27">
        <f>SUM(I116:I125)</f>
        <v>38296</v>
      </c>
      <c r="J114" s="28">
        <f>SUM(J116:J125)</f>
        <v>710732089</v>
      </c>
      <c r="K114" s="28">
        <f>18505/3</f>
        <v>6168.333333333333</v>
      </c>
    </row>
    <row r="115" spans="1:11" x14ac:dyDescent="0.2">
      <c r="A115" s="30" t="s">
        <v>28</v>
      </c>
      <c r="B115" s="30"/>
      <c r="C115" s="30"/>
      <c r="D115" s="30"/>
      <c r="E115" s="30"/>
      <c r="F115" s="30"/>
      <c r="G115" s="30" t="s">
        <v>28</v>
      </c>
      <c r="H115" s="30"/>
      <c r="I115" s="30"/>
      <c r="J115" s="30"/>
      <c r="K115" s="30"/>
    </row>
    <row r="116" spans="1:11" x14ac:dyDescent="0.2">
      <c r="A116" s="30" t="s">
        <v>15</v>
      </c>
      <c r="B116" s="30">
        <v>324</v>
      </c>
      <c r="C116" s="30">
        <v>0</v>
      </c>
      <c r="D116" s="30">
        <v>575310</v>
      </c>
      <c r="E116" s="30">
        <f>8942/3</f>
        <v>2980.6666666666665</v>
      </c>
      <c r="F116" s="30"/>
      <c r="G116" s="30" t="s">
        <v>15</v>
      </c>
      <c r="H116" s="30">
        <v>354</v>
      </c>
      <c r="I116" s="30">
        <v>0</v>
      </c>
      <c r="J116">
        <v>1720076</v>
      </c>
      <c r="K116" s="30">
        <f>13197/3</f>
        <v>4399</v>
      </c>
    </row>
    <row r="117" spans="1:11" x14ac:dyDescent="0.2">
      <c r="A117" s="30" t="s">
        <v>16</v>
      </c>
      <c r="B117" s="30">
        <v>1261</v>
      </c>
      <c r="C117" s="30">
        <v>2365</v>
      </c>
      <c r="D117" s="30">
        <v>23171048</v>
      </c>
      <c r="E117" s="30">
        <f>9976/3</f>
        <v>3325.3333333333335</v>
      </c>
      <c r="F117" s="30"/>
      <c r="G117" s="30" t="s">
        <v>16</v>
      </c>
      <c r="H117" s="30">
        <v>1154</v>
      </c>
      <c r="I117" s="30">
        <v>1889</v>
      </c>
      <c r="J117">
        <v>45141028</v>
      </c>
      <c r="K117" s="30">
        <f>22310/3</f>
        <v>7436.666666666667</v>
      </c>
    </row>
    <row r="118" spans="1:11" x14ac:dyDescent="0.2">
      <c r="A118" s="30" t="s">
        <v>17</v>
      </c>
      <c r="B118" s="30">
        <v>356</v>
      </c>
      <c r="C118" s="30">
        <v>2373</v>
      </c>
      <c r="D118" s="30">
        <v>24637363</v>
      </c>
      <c r="E118" s="30">
        <f>10527/3</f>
        <v>3509</v>
      </c>
      <c r="F118" s="30"/>
      <c r="G118" s="30" t="s">
        <v>17</v>
      </c>
      <c r="H118" s="30">
        <v>268</v>
      </c>
      <c r="I118" s="30">
        <v>1753</v>
      </c>
      <c r="J118" s="30">
        <v>30024383</v>
      </c>
      <c r="K118" s="30">
        <f>17389/3</f>
        <v>5796.333333333333</v>
      </c>
    </row>
    <row r="119" spans="1:11" x14ac:dyDescent="0.2">
      <c r="A119" s="31" t="s">
        <v>56</v>
      </c>
      <c r="B119" s="30">
        <v>266</v>
      </c>
      <c r="C119" s="30">
        <v>3643</v>
      </c>
      <c r="D119" s="30">
        <v>39506978</v>
      </c>
      <c r="E119" s="30">
        <f>10960/3</f>
        <v>3653.3333333333335</v>
      </c>
      <c r="F119" s="30"/>
      <c r="G119" s="31" t="s">
        <v>56</v>
      </c>
      <c r="H119" s="30">
        <v>171</v>
      </c>
      <c r="I119" s="30">
        <v>2366</v>
      </c>
      <c r="J119" s="30">
        <v>36391999</v>
      </c>
      <c r="K119" s="30">
        <f>15295/3</f>
        <v>5098.333333333333</v>
      </c>
    </row>
    <row r="120" spans="1:11" x14ac:dyDescent="0.2">
      <c r="A120" s="30" t="s">
        <v>18</v>
      </c>
      <c r="B120" s="30">
        <v>231</v>
      </c>
      <c r="C120" s="30">
        <v>6957</v>
      </c>
      <c r="D120" s="30">
        <v>73584657</v>
      </c>
      <c r="E120" s="30">
        <f>10709/3</f>
        <v>3569.6666666666665</v>
      </c>
      <c r="F120" s="30"/>
      <c r="G120" s="30" t="s">
        <v>18</v>
      </c>
      <c r="H120" s="30">
        <v>189</v>
      </c>
      <c r="I120" s="30">
        <v>6020</v>
      </c>
      <c r="J120" s="30">
        <v>93023146</v>
      </c>
      <c r="K120" s="30">
        <f>14915/3</f>
        <v>4971.666666666667</v>
      </c>
    </row>
    <row r="121" spans="1:11" x14ac:dyDescent="0.2">
      <c r="A121" s="30" t="s">
        <v>19</v>
      </c>
      <c r="B121" s="30">
        <v>71</v>
      </c>
      <c r="C121" s="30">
        <v>5313</v>
      </c>
      <c r="D121" s="30">
        <v>58566065</v>
      </c>
      <c r="E121" s="30">
        <f>11256/3</f>
        <v>3752</v>
      </c>
      <c r="F121" s="30"/>
      <c r="G121" s="30" t="s">
        <v>19</v>
      </c>
      <c r="H121" s="30">
        <v>71</v>
      </c>
      <c r="I121" s="30">
        <v>4759</v>
      </c>
      <c r="J121" s="30">
        <v>68750512</v>
      </c>
      <c r="K121" s="30">
        <f>14604/3</f>
        <v>4868</v>
      </c>
    </row>
    <row r="122" spans="1:11" x14ac:dyDescent="0.2">
      <c r="A122" s="30" t="s">
        <v>20</v>
      </c>
      <c r="B122" s="30">
        <v>51</v>
      </c>
      <c r="C122" s="30">
        <v>7719</v>
      </c>
      <c r="D122" s="30">
        <v>88764863</v>
      </c>
      <c r="E122" s="30">
        <f>11461/3</f>
        <v>3820.3333333333335</v>
      </c>
      <c r="F122" s="30"/>
      <c r="G122" s="30" t="s">
        <v>20</v>
      </c>
      <c r="H122" s="30">
        <v>61</v>
      </c>
      <c r="I122" s="30">
        <v>9312</v>
      </c>
      <c r="J122" s="30">
        <v>141964196</v>
      </c>
      <c r="K122" s="30">
        <f>15988/3</f>
        <v>5329.333333333333</v>
      </c>
    </row>
    <row r="123" spans="1:11" x14ac:dyDescent="0.2">
      <c r="A123" s="30" t="s">
        <v>21</v>
      </c>
      <c r="B123" s="30">
        <v>21</v>
      </c>
      <c r="C123" s="30">
        <v>7055</v>
      </c>
      <c r="D123" s="30">
        <v>72309440</v>
      </c>
      <c r="E123" s="30">
        <f>10184/3</f>
        <v>3394.6666666666665</v>
      </c>
      <c r="F123" s="30"/>
      <c r="G123" s="30" t="s">
        <v>21</v>
      </c>
      <c r="H123" s="30">
        <v>6</v>
      </c>
      <c r="I123" s="30">
        <v>2158</v>
      </c>
      <c r="J123" s="30">
        <v>42264684</v>
      </c>
      <c r="K123" s="30">
        <f>19567/3</f>
        <v>6522.333333333333</v>
      </c>
    </row>
    <row r="124" spans="1:11" x14ac:dyDescent="0.2">
      <c r="A124" s="30" t="s">
        <v>23</v>
      </c>
      <c r="B124" s="30">
        <v>13</v>
      </c>
      <c r="C124" s="30">
        <v>8551</v>
      </c>
      <c r="D124" s="30">
        <v>107769953</v>
      </c>
      <c r="E124" s="30">
        <f>12680/3</f>
        <v>4226.666666666667</v>
      </c>
      <c r="F124" s="30"/>
      <c r="G124" s="30" t="s">
        <v>23</v>
      </c>
      <c r="H124" s="30">
        <v>10</v>
      </c>
      <c r="I124" s="30">
        <v>6595</v>
      </c>
      <c r="J124" s="30">
        <v>141624737</v>
      </c>
      <c r="K124" s="32">
        <f>21281/3</f>
        <v>7093.666666666667</v>
      </c>
    </row>
    <row r="125" spans="1:11" x14ac:dyDescent="0.2">
      <c r="A125" s="30" t="s">
        <v>24</v>
      </c>
      <c r="B125" s="30">
        <v>5</v>
      </c>
      <c r="C125" s="30">
        <v>10998</v>
      </c>
      <c r="D125" s="30">
        <v>200834739</v>
      </c>
      <c r="E125" s="30">
        <f>18150/3</f>
        <v>6050</v>
      </c>
      <c r="F125" s="30"/>
      <c r="G125" s="30" t="s">
        <v>24</v>
      </c>
      <c r="H125" s="30">
        <v>3</v>
      </c>
      <c r="I125" s="30">
        <v>3444</v>
      </c>
      <c r="J125" s="30">
        <v>109827328</v>
      </c>
      <c r="K125" s="30">
        <f>31293/3</f>
        <v>10431</v>
      </c>
    </row>
    <row r="126" spans="1:11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</row>
    <row r="128" spans="1:11" x14ac:dyDescent="0.2">
      <c r="A128" s="43" t="s">
        <v>36</v>
      </c>
      <c r="B128" s="43"/>
      <c r="C128" s="43"/>
      <c r="D128" s="43"/>
      <c r="E128" s="43"/>
      <c r="F128" s="13"/>
      <c r="G128" s="43" t="s">
        <v>37</v>
      </c>
      <c r="H128" s="43"/>
      <c r="I128" s="43"/>
      <c r="J128" s="43"/>
      <c r="K128" s="43"/>
    </row>
    <row r="129" spans="1:12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1:12" x14ac:dyDescent="0.2">
      <c r="A130" s="15"/>
      <c r="B130" s="15"/>
      <c r="C130" s="15"/>
      <c r="D130" s="15" t="s">
        <v>2</v>
      </c>
      <c r="E130" s="15" t="s">
        <v>3</v>
      </c>
      <c r="F130" s="13"/>
      <c r="G130" s="15"/>
      <c r="H130" s="15"/>
      <c r="I130" s="15"/>
      <c r="J130" s="15" t="s">
        <v>2</v>
      </c>
      <c r="K130" s="15" t="s">
        <v>3</v>
      </c>
    </row>
    <row r="131" spans="1:12" x14ac:dyDescent="0.2">
      <c r="A131" s="16" t="s">
        <v>4</v>
      </c>
      <c r="B131" s="15" t="s">
        <v>5</v>
      </c>
      <c r="C131" s="15" t="s">
        <v>6</v>
      </c>
      <c r="D131" s="15" t="s">
        <v>7</v>
      </c>
      <c r="E131" s="15" t="s">
        <v>8</v>
      </c>
      <c r="F131" s="13"/>
      <c r="G131" s="16" t="s">
        <v>4</v>
      </c>
      <c r="H131" s="15" t="s">
        <v>5</v>
      </c>
      <c r="I131" s="15" t="s">
        <v>6</v>
      </c>
      <c r="J131" s="15" t="s">
        <v>7</v>
      </c>
      <c r="K131" s="15" t="s">
        <v>8</v>
      </c>
    </row>
    <row r="132" spans="1:12" x14ac:dyDescent="0.2">
      <c r="A132" s="16" t="s">
        <v>9</v>
      </c>
      <c r="B132" s="15" t="s">
        <v>10</v>
      </c>
      <c r="C132" s="15" t="s">
        <v>11</v>
      </c>
      <c r="D132" s="15" t="s">
        <v>12</v>
      </c>
      <c r="E132" s="15" t="s">
        <v>13</v>
      </c>
      <c r="F132" s="13"/>
      <c r="G132" s="16" t="s">
        <v>9</v>
      </c>
      <c r="H132" s="15" t="s">
        <v>10</v>
      </c>
      <c r="I132" s="15" t="s">
        <v>11</v>
      </c>
      <c r="J132" s="15" t="s">
        <v>12</v>
      </c>
      <c r="K132" s="15" t="s">
        <v>13</v>
      </c>
    </row>
    <row r="134" spans="1:12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</row>
    <row r="135" spans="1:12" s="14" customFormat="1" x14ac:dyDescent="0.2">
      <c r="A135" s="27" t="s">
        <v>27</v>
      </c>
      <c r="B135" s="27">
        <f>SUM(B137:B146)</f>
        <v>5697</v>
      </c>
      <c r="C135" s="27">
        <f>SUM(C137:C146)</f>
        <v>63301</v>
      </c>
      <c r="D135" s="28">
        <f>SUM(D137:D146)</f>
        <v>1173086341</v>
      </c>
      <c r="E135" s="28">
        <f>18503/3</f>
        <v>6167.666666666667</v>
      </c>
      <c r="F135" s="27"/>
      <c r="G135" s="27" t="s">
        <v>27</v>
      </c>
      <c r="H135" s="27">
        <f>SUM(H137:H143)</f>
        <v>5111</v>
      </c>
      <c r="I135" s="27">
        <f>SUM(I137:I143)</f>
        <v>19377</v>
      </c>
      <c r="J135" s="28">
        <f>SUM(J137:J143)</f>
        <v>234252625</v>
      </c>
      <c r="K135" s="28">
        <f>12145/3</f>
        <v>4048.3333333333335</v>
      </c>
      <c r="L135" s="22"/>
    </row>
    <row r="136" spans="1:12" x14ac:dyDescent="0.2">
      <c r="A136" s="30" t="s">
        <v>28</v>
      </c>
      <c r="B136" s="30"/>
      <c r="C136" s="30"/>
      <c r="D136" s="30"/>
      <c r="E136" s="30"/>
      <c r="F136" s="30"/>
      <c r="G136" s="30" t="s">
        <v>28</v>
      </c>
      <c r="H136" s="30"/>
      <c r="I136" s="30"/>
      <c r="J136" s="30"/>
      <c r="K136" s="30"/>
      <c r="L136" s="24"/>
    </row>
    <row r="137" spans="1:12" x14ac:dyDescent="0.2">
      <c r="A137" s="30">
        <v>0</v>
      </c>
      <c r="B137" s="30">
        <v>576</v>
      </c>
      <c r="C137" s="30">
        <v>0</v>
      </c>
      <c r="D137" s="30">
        <v>14700443</v>
      </c>
      <c r="E137" s="30">
        <f>26535/3</f>
        <v>8845</v>
      </c>
      <c r="F137" s="30"/>
      <c r="G137" s="30" t="s">
        <v>15</v>
      </c>
      <c r="H137" s="30">
        <v>881</v>
      </c>
      <c r="I137" s="30">
        <v>0</v>
      </c>
      <c r="J137" s="30">
        <v>2169658</v>
      </c>
      <c r="K137" s="30">
        <f>12940/3</f>
        <v>4313.333333333333</v>
      </c>
      <c r="L137" s="24"/>
    </row>
    <row r="138" spans="1:12" x14ac:dyDescent="0.2">
      <c r="A138" s="30" t="s">
        <v>16</v>
      </c>
      <c r="B138" s="30">
        <v>3185</v>
      </c>
      <c r="C138" s="30">
        <v>6001</v>
      </c>
      <c r="D138" s="30">
        <v>98427534</v>
      </c>
      <c r="E138" s="30">
        <f>16591/3</f>
        <v>5530.333333333333</v>
      </c>
      <c r="F138" s="30"/>
      <c r="G138" s="30" t="s">
        <v>16</v>
      </c>
      <c r="H138" s="30">
        <v>3294</v>
      </c>
      <c r="I138" s="30">
        <v>5496</v>
      </c>
      <c r="J138" s="30">
        <v>61958332</v>
      </c>
      <c r="K138" s="30">
        <f>11511/3</f>
        <v>3837</v>
      </c>
      <c r="L138" s="24"/>
    </row>
    <row r="139" spans="1:12" x14ac:dyDescent="0.2">
      <c r="A139" s="30" t="s">
        <v>17</v>
      </c>
      <c r="B139" s="30">
        <v>977</v>
      </c>
      <c r="C139" s="30">
        <v>6380</v>
      </c>
      <c r="D139" s="30">
        <v>83886215</v>
      </c>
      <c r="E139" s="30">
        <f>13243/3</f>
        <v>4414.333333333333</v>
      </c>
      <c r="F139" s="30"/>
      <c r="G139" s="30" t="s">
        <v>17</v>
      </c>
      <c r="H139" s="30">
        <v>537</v>
      </c>
      <c r="I139" s="30">
        <v>3443</v>
      </c>
      <c r="J139" s="30">
        <v>40985485</v>
      </c>
      <c r="K139" s="30">
        <f>12107/3</f>
        <v>4035.6666666666665</v>
      </c>
      <c r="L139" s="24"/>
    </row>
    <row r="140" spans="1:12" x14ac:dyDescent="0.2">
      <c r="A140" s="31" t="s">
        <v>56</v>
      </c>
      <c r="B140" s="30">
        <v>537</v>
      </c>
      <c r="C140" s="30">
        <v>7180</v>
      </c>
      <c r="D140" s="30">
        <v>109346272</v>
      </c>
      <c r="E140" s="30">
        <f>15409/3</f>
        <v>5136.333333333333</v>
      </c>
      <c r="F140" s="30"/>
      <c r="G140" s="31" t="s">
        <v>56</v>
      </c>
      <c r="H140" s="30">
        <v>256</v>
      </c>
      <c r="I140" s="30">
        <v>3380</v>
      </c>
      <c r="J140" s="30">
        <v>38009839</v>
      </c>
      <c r="K140" s="30">
        <f>11373/3</f>
        <v>3791</v>
      </c>
      <c r="L140" s="24"/>
    </row>
    <row r="141" spans="1:12" x14ac:dyDescent="0.2">
      <c r="A141" s="30" t="s">
        <v>18</v>
      </c>
      <c r="B141" s="30">
        <v>265</v>
      </c>
      <c r="C141" s="30">
        <v>8001</v>
      </c>
      <c r="D141" s="30">
        <v>178427974</v>
      </c>
      <c r="E141" s="30">
        <f>22572/3</f>
        <v>7524</v>
      </c>
      <c r="F141" s="30"/>
      <c r="G141" s="30" t="s">
        <v>18</v>
      </c>
      <c r="H141" s="30">
        <v>105</v>
      </c>
      <c r="I141" s="30">
        <v>3177</v>
      </c>
      <c r="J141" s="30">
        <v>41519278</v>
      </c>
      <c r="K141" s="30">
        <f>13256/3</f>
        <v>4418.666666666667</v>
      </c>
      <c r="L141" s="24"/>
    </row>
    <row r="142" spans="1:12" x14ac:dyDescent="0.2">
      <c r="A142" s="30" t="s">
        <v>19</v>
      </c>
      <c r="B142" s="30">
        <v>74</v>
      </c>
      <c r="C142" s="30">
        <v>5181</v>
      </c>
      <c r="D142" s="30">
        <v>119088474</v>
      </c>
      <c r="E142" s="30">
        <f>23020/3</f>
        <v>7673.333333333333</v>
      </c>
      <c r="F142" s="30"/>
      <c r="G142" s="30" t="s">
        <v>19</v>
      </c>
      <c r="H142" s="30">
        <v>24</v>
      </c>
      <c r="I142" s="30">
        <v>1629</v>
      </c>
      <c r="J142" s="30">
        <v>18837163</v>
      </c>
      <c r="K142" s="30">
        <f>11542/3</f>
        <v>3847.3333333333335</v>
      </c>
      <c r="L142" s="24"/>
    </row>
    <row r="143" spans="1:12" x14ac:dyDescent="0.2">
      <c r="A143" s="30" t="s">
        <v>20</v>
      </c>
      <c r="B143" s="30">
        <v>54</v>
      </c>
      <c r="C143" s="30">
        <v>8303</v>
      </c>
      <c r="D143" s="30">
        <v>154725840</v>
      </c>
      <c r="E143" s="30">
        <f>18927/3</f>
        <v>6309</v>
      </c>
      <c r="F143" s="30"/>
      <c r="G143" s="30" t="s">
        <v>38</v>
      </c>
      <c r="H143" s="30">
        <v>14</v>
      </c>
      <c r="I143" s="30">
        <f>1827+425</f>
        <v>2252</v>
      </c>
      <c r="J143" s="30">
        <f>25710106+5062764</f>
        <v>30772870</v>
      </c>
      <c r="K143" s="32">
        <f>(25710106+5062764)/(1806+431+1811+438+1827+425)</f>
        <v>4567.0629266844762</v>
      </c>
      <c r="L143" s="24"/>
    </row>
    <row r="144" spans="1:12" x14ac:dyDescent="0.2">
      <c r="A144" s="30" t="s">
        <v>21</v>
      </c>
      <c r="B144" s="30">
        <v>13</v>
      </c>
      <c r="C144" s="30">
        <v>4456</v>
      </c>
      <c r="D144" s="30">
        <v>101660038</v>
      </c>
      <c r="E144" s="30">
        <f>22881/3</f>
        <v>7627</v>
      </c>
      <c r="F144" s="30"/>
      <c r="G144" s="30"/>
      <c r="H144" s="30"/>
      <c r="I144" s="30"/>
      <c r="J144" s="30"/>
      <c r="K144" s="30"/>
      <c r="L144" s="24"/>
    </row>
    <row r="145" spans="1:12" x14ac:dyDescent="0.2">
      <c r="A145" s="30" t="s">
        <v>23</v>
      </c>
      <c r="B145" s="30">
        <v>10</v>
      </c>
      <c r="C145" s="30">
        <v>7042</v>
      </c>
      <c r="D145" s="30">
        <v>124534377</v>
      </c>
      <c r="E145" s="30">
        <f>17812/3</f>
        <v>5937.333333333333</v>
      </c>
      <c r="F145" s="30"/>
      <c r="G145" s="30"/>
      <c r="H145" s="30"/>
      <c r="I145" s="30"/>
      <c r="J145" s="30"/>
      <c r="K145" s="30"/>
      <c r="L145" s="24"/>
    </row>
    <row r="146" spans="1:12" x14ac:dyDescent="0.2">
      <c r="A146" s="30" t="s">
        <v>24</v>
      </c>
      <c r="B146" s="30">
        <v>6</v>
      </c>
      <c r="C146" s="30">
        <v>10757</v>
      </c>
      <c r="D146" s="30">
        <v>188289174</v>
      </c>
      <c r="E146" s="30">
        <f>17442/3</f>
        <v>5814</v>
      </c>
      <c r="F146" s="30"/>
      <c r="G146" s="30"/>
      <c r="H146" s="30"/>
      <c r="I146" s="30"/>
      <c r="J146" s="30"/>
      <c r="K146" s="30"/>
      <c r="L146" s="24"/>
    </row>
    <row r="147" spans="1:12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</row>
    <row r="148" spans="1:12" x14ac:dyDescent="0.2">
      <c r="A148" s="48" t="s">
        <v>62</v>
      </c>
      <c r="B148" s="49"/>
      <c r="C148" s="49"/>
      <c r="D148" s="49"/>
      <c r="E148" s="49"/>
      <c r="F148" s="49"/>
      <c r="G148" s="49"/>
      <c r="H148" s="49"/>
      <c r="I148" s="49"/>
    </row>
    <row r="153" spans="1:12" x14ac:dyDescent="0.2">
      <c r="D153" s="48"/>
      <c r="E153" s="48"/>
      <c r="F153" s="48"/>
      <c r="G153" s="48"/>
      <c r="H153" s="48"/>
    </row>
    <row r="154" spans="1:12" ht="14.25" x14ac:dyDescent="0.2">
      <c r="A154" s="50" t="s">
        <v>75</v>
      </c>
      <c r="B154" s="51"/>
      <c r="C154" s="51"/>
      <c r="D154" s="51"/>
      <c r="E154" s="51"/>
      <c r="F154" s="51"/>
      <c r="G154" s="51"/>
      <c r="H154" s="51"/>
      <c r="I154" s="51"/>
      <c r="J154" s="51"/>
      <c r="K154" s="51"/>
    </row>
    <row r="155" spans="1:12" x14ac:dyDescent="0.2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</row>
    <row r="156" spans="1:12" x14ac:dyDescent="0.2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</row>
    <row r="157" spans="1:12" x14ac:dyDescent="0.2">
      <c r="A157" s="43" t="s">
        <v>39</v>
      </c>
      <c r="B157" s="43"/>
      <c r="C157" s="43"/>
      <c r="D157" s="43"/>
      <c r="E157" s="43"/>
      <c r="F157" s="13"/>
      <c r="G157" s="43" t="s">
        <v>40</v>
      </c>
      <c r="H157" s="43"/>
      <c r="I157" s="43"/>
      <c r="J157" s="43"/>
      <c r="K157" s="43"/>
    </row>
    <row r="158" spans="1:12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1:12" x14ac:dyDescent="0.2">
      <c r="A159" s="15"/>
      <c r="B159" s="15"/>
      <c r="C159" s="15"/>
      <c r="D159" s="15" t="s">
        <v>2</v>
      </c>
      <c r="E159" s="15" t="s">
        <v>3</v>
      </c>
      <c r="F159" s="13"/>
      <c r="G159" s="15"/>
      <c r="H159" s="15"/>
      <c r="I159" s="15"/>
      <c r="J159" s="15" t="s">
        <v>2</v>
      </c>
      <c r="K159" s="15" t="s">
        <v>3</v>
      </c>
    </row>
    <row r="160" spans="1:12" x14ac:dyDescent="0.2">
      <c r="A160" s="16" t="s">
        <v>4</v>
      </c>
      <c r="B160" s="15" t="s">
        <v>5</v>
      </c>
      <c r="C160" s="15" t="s">
        <v>6</v>
      </c>
      <c r="D160" s="15" t="s">
        <v>7</v>
      </c>
      <c r="E160" s="15" t="s">
        <v>8</v>
      </c>
      <c r="F160" s="13"/>
      <c r="G160" s="16" t="s">
        <v>4</v>
      </c>
      <c r="H160" s="15" t="s">
        <v>5</v>
      </c>
      <c r="I160" s="15" t="s">
        <v>6</v>
      </c>
      <c r="J160" s="15" t="s">
        <v>7</v>
      </c>
      <c r="K160" s="15" t="s">
        <v>8</v>
      </c>
    </row>
    <row r="161" spans="1:12" x14ac:dyDescent="0.2">
      <c r="A161" s="16" t="s">
        <v>9</v>
      </c>
      <c r="B161" s="15" t="s">
        <v>10</v>
      </c>
      <c r="C161" s="15" t="s">
        <v>11</v>
      </c>
      <c r="D161" s="15" t="s">
        <v>12</v>
      </c>
      <c r="E161" s="15" t="s">
        <v>13</v>
      </c>
      <c r="F161" s="13"/>
      <c r="G161" s="16" t="s">
        <v>9</v>
      </c>
      <c r="H161" s="15" t="s">
        <v>10</v>
      </c>
      <c r="I161" s="15" t="s">
        <v>11</v>
      </c>
      <c r="J161" s="15" t="s">
        <v>12</v>
      </c>
      <c r="K161" s="15" t="s">
        <v>13</v>
      </c>
    </row>
    <row r="164" spans="1:12" s="14" customFormat="1" x14ac:dyDescent="0.2">
      <c r="A164" s="14" t="s">
        <v>27</v>
      </c>
      <c r="B164" s="14">
        <f>SUM(B166:B174)</f>
        <v>14727</v>
      </c>
      <c r="C164" s="14">
        <f>SUM(C166:C174)</f>
        <v>94639</v>
      </c>
      <c r="D164" s="14">
        <f>SUM(D166:D174)</f>
        <v>1686471861</v>
      </c>
      <c r="E164" s="17">
        <f>17947/3</f>
        <v>5982.333333333333</v>
      </c>
      <c r="G164" s="22" t="s">
        <v>27</v>
      </c>
      <c r="H164" s="22">
        <f>SUM(H166:H175)</f>
        <v>783</v>
      </c>
      <c r="I164" s="22">
        <f>SUM(I166:I175)</f>
        <v>19810</v>
      </c>
      <c r="J164" s="23">
        <f>SUM(J166:J175)</f>
        <v>461389328</v>
      </c>
      <c r="K164" s="23">
        <f>23332/3</f>
        <v>7777.333333333333</v>
      </c>
    </row>
    <row r="165" spans="1:12" x14ac:dyDescent="0.2">
      <c r="A165" s="26" t="s">
        <v>28</v>
      </c>
      <c r="B165" s="26"/>
      <c r="C165" s="26"/>
      <c r="D165" s="26"/>
      <c r="E165" s="26"/>
      <c r="F165" s="26"/>
      <c r="G165" s="30" t="s">
        <v>28</v>
      </c>
      <c r="H165" s="30"/>
      <c r="I165" s="30"/>
      <c r="J165" s="30"/>
      <c r="K165" s="30"/>
    </row>
    <row r="166" spans="1:12" x14ac:dyDescent="0.2">
      <c r="A166" s="30" t="s">
        <v>15</v>
      </c>
      <c r="B166" s="30">
        <v>2719</v>
      </c>
      <c r="C166" s="30">
        <v>0</v>
      </c>
      <c r="D166" s="30">
        <v>12191972</v>
      </c>
      <c r="E166" s="30">
        <f>15899/3</f>
        <v>5299.666666666667</v>
      </c>
      <c r="F166" s="30"/>
      <c r="G166" s="30" t="s">
        <v>15</v>
      </c>
      <c r="H166" s="30">
        <v>122</v>
      </c>
      <c r="I166" s="30">
        <v>0</v>
      </c>
      <c r="J166" s="30">
        <v>1125602</v>
      </c>
      <c r="K166" s="30">
        <f>33434/3</f>
        <v>11144.666666666666</v>
      </c>
      <c r="L166" s="24"/>
    </row>
    <row r="167" spans="1:12" x14ac:dyDescent="0.2">
      <c r="A167" s="30" t="s">
        <v>16</v>
      </c>
      <c r="B167" s="30">
        <v>8903</v>
      </c>
      <c r="C167" s="30">
        <v>14113</v>
      </c>
      <c r="D167" s="30">
        <v>221637375</v>
      </c>
      <c r="E167" s="30">
        <f>16155/3</f>
        <v>5385</v>
      </c>
      <c r="F167" s="30"/>
      <c r="G167" s="30" t="s">
        <v>16</v>
      </c>
      <c r="H167" s="30">
        <v>380</v>
      </c>
      <c r="I167" s="30">
        <v>625</v>
      </c>
      <c r="J167" s="30">
        <v>14674564</v>
      </c>
      <c r="K167" s="30">
        <f>24269/3</f>
        <v>8089.666666666667</v>
      </c>
      <c r="L167" s="24"/>
    </row>
    <row r="168" spans="1:12" x14ac:dyDescent="0.2">
      <c r="A168" s="30" t="s">
        <v>17</v>
      </c>
      <c r="B168" s="30">
        <v>1399</v>
      </c>
      <c r="C168" s="30">
        <v>9124</v>
      </c>
      <c r="D168" s="30">
        <v>128731095</v>
      </c>
      <c r="E168" s="30">
        <f>14389/3</f>
        <v>4796.333333333333</v>
      </c>
      <c r="F168" s="30"/>
      <c r="G168" s="30" t="s">
        <v>17</v>
      </c>
      <c r="H168" s="30">
        <v>66</v>
      </c>
      <c r="I168" s="30">
        <v>431</v>
      </c>
      <c r="J168" s="30">
        <v>8971054</v>
      </c>
      <c r="K168" s="30">
        <f>20831/3</f>
        <v>6943.666666666667</v>
      </c>
      <c r="L168" s="24"/>
    </row>
    <row r="169" spans="1:12" x14ac:dyDescent="0.2">
      <c r="A169" s="31" t="s">
        <v>56</v>
      </c>
      <c r="B169" s="30">
        <v>871</v>
      </c>
      <c r="C169" s="30">
        <v>11609</v>
      </c>
      <c r="D169" s="30">
        <v>181362729</v>
      </c>
      <c r="E169" s="30">
        <f>15890/3</f>
        <v>5296.666666666667</v>
      </c>
      <c r="F169" s="30"/>
      <c r="G169" s="31" t="s">
        <v>56</v>
      </c>
      <c r="H169" s="30">
        <v>69</v>
      </c>
      <c r="I169" s="30">
        <v>920</v>
      </c>
      <c r="J169" s="30">
        <v>16609961</v>
      </c>
      <c r="K169" s="30">
        <f>18253/3</f>
        <v>6084.333333333333</v>
      </c>
      <c r="L169" s="24"/>
    </row>
    <row r="170" spans="1:12" x14ac:dyDescent="0.2">
      <c r="A170" s="30" t="s">
        <v>18</v>
      </c>
      <c r="B170" s="30">
        <v>556</v>
      </c>
      <c r="C170" s="30">
        <v>16933</v>
      </c>
      <c r="D170" s="30">
        <v>284934620</v>
      </c>
      <c r="E170" s="30">
        <f>17093/3</f>
        <v>5697.666666666667</v>
      </c>
      <c r="F170" s="30"/>
      <c r="G170" s="30" t="s">
        <v>18</v>
      </c>
      <c r="H170" s="30">
        <v>69</v>
      </c>
      <c r="I170" s="30">
        <v>2212</v>
      </c>
      <c r="J170" s="30">
        <v>69951336</v>
      </c>
      <c r="K170" s="30">
        <f>31700/3</f>
        <v>10566.666666666666</v>
      </c>
      <c r="L170" s="24"/>
    </row>
    <row r="171" spans="1:12" x14ac:dyDescent="0.2">
      <c r="A171" s="30" t="s">
        <v>19</v>
      </c>
      <c r="B171" s="30">
        <v>155</v>
      </c>
      <c r="C171" s="30">
        <v>10597</v>
      </c>
      <c r="D171" s="30">
        <v>224278209</v>
      </c>
      <c r="E171" s="30">
        <f>21433/3</f>
        <v>7144.333333333333</v>
      </c>
      <c r="F171" s="30"/>
      <c r="G171" s="30" t="s">
        <v>19</v>
      </c>
      <c r="H171" s="30">
        <v>37</v>
      </c>
      <c r="I171" s="30">
        <v>2624</v>
      </c>
      <c r="J171" s="30">
        <v>50191946</v>
      </c>
      <c r="K171" s="30">
        <f>19181/3</f>
        <v>6393.666666666667</v>
      </c>
      <c r="L171" s="24"/>
    </row>
    <row r="172" spans="1:12" x14ac:dyDescent="0.2">
      <c r="A172" s="30" t="s">
        <v>20</v>
      </c>
      <c r="B172" s="30">
        <v>81</v>
      </c>
      <c r="C172" s="30">
        <v>12019</v>
      </c>
      <c r="D172" s="30">
        <v>268659854</v>
      </c>
      <c r="E172" s="30">
        <f>22417/3</f>
        <v>7472.333333333333</v>
      </c>
      <c r="F172" s="30"/>
      <c r="G172" s="30" t="s">
        <v>20</v>
      </c>
      <c r="H172" s="30">
        <v>26</v>
      </c>
      <c r="I172" s="30">
        <v>4070</v>
      </c>
      <c r="J172" s="30">
        <v>97708141</v>
      </c>
      <c r="K172" s="30">
        <f>24529/3</f>
        <v>8176.333333333333</v>
      </c>
      <c r="L172" s="24"/>
    </row>
    <row r="173" spans="1:12" x14ac:dyDescent="0.2">
      <c r="A173" s="30" t="s">
        <v>21</v>
      </c>
      <c r="B173" s="32">
        <v>28</v>
      </c>
      <c r="C173" s="30">
        <v>9701</v>
      </c>
      <c r="D173" s="30">
        <v>194804235</v>
      </c>
      <c r="E173" s="30">
        <f>20396/3</f>
        <v>6798.666666666667</v>
      </c>
      <c r="F173" s="30"/>
      <c r="G173" s="30" t="s">
        <v>21</v>
      </c>
      <c r="H173" s="30">
        <v>7</v>
      </c>
      <c r="I173" s="30">
        <v>2235</v>
      </c>
      <c r="J173" s="30">
        <v>61927314</v>
      </c>
      <c r="K173" s="30">
        <f>27462/3</f>
        <v>9154</v>
      </c>
      <c r="L173" s="24"/>
    </row>
    <row r="174" spans="1:12" x14ac:dyDescent="0.2">
      <c r="A174" s="30" t="s">
        <v>31</v>
      </c>
      <c r="B174" s="30">
        <f>13+2</f>
        <v>15</v>
      </c>
      <c r="C174" s="30">
        <f>7920+2623</f>
        <v>10543</v>
      </c>
      <c r="D174" s="30">
        <f>149227324+20644448</f>
        <v>169871772</v>
      </c>
      <c r="E174" s="30">
        <f>(20644448+149227324)/(2623+7920+2609+7871+2551+7791)</f>
        <v>5415.9659493065519</v>
      </c>
      <c r="F174" s="30"/>
      <c r="G174" s="30" t="s">
        <v>31</v>
      </c>
      <c r="H174" s="30">
        <f>5+2</f>
        <v>7</v>
      </c>
      <c r="I174" s="30">
        <f>3400+3293</f>
        <v>6693</v>
      </c>
      <c r="J174" s="30">
        <f>102169273+38060137</f>
        <v>140229410</v>
      </c>
      <c r="K174" s="32">
        <f>(38060137+102169273)/(3293+3400+3321+3391+3441+3357)</f>
        <v>6941.0191555709553</v>
      </c>
      <c r="L174" s="24"/>
    </row>
    <row r="175" spans="1:12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</row>
    <row r="178" spans="1:12" x14ac:dyDescent="0.2">
      <c r="A178" s="43" t="s">
        <v>41</v>
      </c>
      <c r="B178" s="43"/>
      <c r="C178" s="43"/>
      <c r="D178" s="43"/>
      <c r="E178" s="43"/>
      <c r="F178" s="13"/>
      <c r="G178" s="43" t="s">
        <v>60</v>
      </c>
      <c r="H178" s="43"/>
      <c r="I178" s="43"/>
      <c r="J178" s="43"/>
      <c r="K178" s="43"/>
    </row>
    <row r="179" spans="1:12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1:12" x14ac:dyDescent="0.2">
      <c r="A180" s="15"/>
      <c r="B180" s="15"/>
      <c r="C180" s="15"/>
      <c r="D180" s="15" t="s">
        <v>2</v>
      </c>
      <c r="E180" s="15" t="s">
        <v>3</v>
      </c>
      <c r="F180" s="13"/>
      <c r="G180" s="15"/>
      <c r="H180" s="15"/>
      <c r="I180" s="15"/>
      <c r="J180" s="15" t="s">
        <v>2</v>
      </c>
      <c r="K180" s="15" t="s">
        <v>3</v>
      </c>
    </row>
    <row r="181" spans="1:12" x14ac:dyDescent="0.2">
      <c r="A181" s="16" t="s">
        <v>4</v>
      </c>
      <c r="B181" s="15" t="s">
        <v>5</v>
      </c>
      <c r="C181" s="15" t="s">
        <v>6</v>
      </c>
      <c r="D181" s="15" t="s">
        <v>7</v>
      </c>
      <c r="E181" s="15" t="s">
        <v>8</v>
      </c>
      <c r="F181" s="13"/>
      <c r="G181" s="16" t="s">
        <v>4</v>
      </c>
      <c r="H181" s="15" t="s">
        <v>5</v>
      </c>
      <c r="I181" s="15" t="s">
        <v>6</v>
      </c>
      <c r="J181" s="15" t="s">
        <v>7</v>
      </c>
      <c r="K181" s="15" t="s">
        <v>8</v>
      </c>
    </row>
    <row r="182" spans="1:12" x14ac:dyDescent="0.2">
      <c r="A182" s="16" t="s">
        <v>9</v>
      </c>
      <c r="B182" s="15" t="s">
        <v>10</v>
      </c>
      <c r="C182" s="15" t="s">
        <v>11</v>
      </c>
      <c r="D182" s="15" t="s">
        <v>12</v>
      </c>
      <c r="E182" s="15" t="s">
        <v>13</v>
      </c>
      <c r="F182" s="13"/>
      <c r="G182" s="16" t="s">
        <v>9</v>
      </c>
      <c r="H182" s="15" t="s">
        <v>10</v>
      </c>
      <c r="I182" s="15" t="s">
        <v>11</v>
      </c>
      <c r="J182" s="15" t="s">
        <v>12</v>
      </c>
      <c r="K182" s="15" t="s">
        <v>13</v>
      </c>
    </row>
    <row r="184" spans="1:12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</row>
    <row r="185" spans="1:12" s="14" customFormat="1" x14ac:dyDescent="0.2">
      <c r="A185" s="27" t="s">
        <v>27</v>
      </c>
      <c r="B185" s="27">
        <f>SUM(B187:B196)</f>
        <v>5707</v>
      </c>
      <c r="C185" s="27">
        <f>SUM(C187:C196)</f>
        <v>86723</v>
      </c>
      <c r="D185" s="28">
        <f>SUM(D187:D196)</f>
        <v>774035202</v>
      </c>
      <c r="E185" s="28">
        <f>8972/3</f>
        <v>2990.6666666666665</v>
      </c>
      <c r="F185" s="27"/>
      <c r="G185" s="27" t="s">
        <v>27</v>
      </c>
      <c r="H185" s="27">
        <f>SUM(H187:H196)</f>
        <v>1518</v>
      </c>
      <c r="I185" s="27">
        <f>SUM(I187:I196)</f>
        <v>49261</v>
      </c>
      <c r="J185" s="28">
        <f>SUM(J187:J196)</f>
        <v>352867683</v>
      </c>
      <c r="K185" s="28">
        <f>7241/3</f>
        <v>2413.6666666666665</v>
      </c>
      <c r="L185" s="22"/>
    </row>
    <row r="186" spans="1:12" x14ac:dyDescent="0.2">
      <c r="A186" s="30" t="s">
        <v>28</v>
      </c>
      <c r="B186" s="30"/>
      <c r="C186" s="30"/>
      <c r="D186" s="30"/>
      <c r="E186" s="30"/>
      <c r="F186" s="30"/>
      <c r="G186" s="30" t="s">
        <v>28</v>
      </c>
      <c r="H186" s="30"/>
      <c r="I186" s="30"/>
      <c r="J186" s="30"/>
      <c r="K186" s="30"/>
      <c r="L186" s="24"/>
    </row>
    <row r="187" spans="1:12" x14ac:dyDescent="0.2">
      <c r="A187" s="30" t="s">
        <v>15</v>
      </c>
      <c r="B187" s="30">
        <v>1106</v>
      </c>
      <c r="C187" s="30">
        <v>0</v>
      </c>
      <c r="D187" s="30">
        <v>2854423</v>
      </c>
      <c r="E187" s="30">
        <f>9494/3</f>
        <v>3164.6666666666665</v>
      </c>
      <c r="F187" s="30"/>
      <c r="G187" s="30" t="s">
        <v>15</v>
      </c>
      <c r="H187" s="30">
        <v>233</v>
      </c>
      <c r="I187" s="30">
        <v>0</v>
      </c>
      <c r="J187" s="30">
        <v>652323</v>
      </c>
      <c r="K187" s="30">
        <f>3792/3</f>
        <v>1264</v>
      </c>
      <c r="L187" s="24"/>
    </row>
    <row r="188" spans="1:12" x14ac:dyDescent="0.2">
      <c r="A188" s="30" t="s">
        <v>16</v>
      </c>
      <c r="B188" s="30">
        <v>2651</v>
      </c>
      <c r="C188" s="30">
        <v>4857</v>
      </c>
      <c r="D188" s="30">
        <v>50943160</v>
      </c>
      <c r="E188" s="30">
        <f>11042/2</f>
        <v>5521</v>
      </c>
      <c r="F188" s="30"/>
      <c r="G188" s="30" t="s">
        <v>16</v>
      </c>
      <c r="H188" s="30">
        <v>594</v>
      </c>
      <c r="I188" s="30">
        <v>1069</v>
      </c>
      <c r="J188" s="30">
        <v>11110455</v>
      </c>
      <c r="K188" s="30">
        <f>10528/3</f>
        <v>3509.3333333333335</v>
      </c>
      <c r="L188" s="24"/>
    </row>
    <row r="189" spans="1:12" x14ac:dyDescent="0.2">
      <c r="A189" s="30" t="s">
        <v>17</v>
      </c>
      <c r="B189" s="30">
        <v>793</v>
      </c>
      <c r="C189" s="30">
        <v>5202</v>
      </c>
      <c r="D189" s="30">
        <v>46249783</v>
      </c>
      <c r="E189" s="30">
        <f>9366/3</f>
        <v>3122</v>
      </c>
      <c r="F189" s="30"/>
      <c r="G189" s="30" t="s">
        <v>17</v>
      </c>
      <c r="H189" s="30">
        <v>183</v>
      </c>
      <c r="I189" s="30">
        <v>1205</v>
      </c>
      <c r="J189" s="30">
        <v>6905469</v>
      </c>
      <c r="K189" s="30">
        <f>5816/3</f>
        <v>1938.6666666666667</v>
      </c>
      <c r="L189" s="24"/>
    </row>
    <row r="190" spans="1:12" x14ac:dyDescent="0.2">
      <c r="A190" s="31" t="s">
        <v>56</v>
      </c>
      <c r="B190" s="30">
        <v>517</v>
      </c>
      <c r="C190" s="30">
        <v>7026</v>
      </c>
      <c r="D190" s="30">
        <v>67071584</v>
      </c>
      <c r="E190" s="30">
        <f>9716/3</f>
        <v>3238.6666666666665</v>
      </c>
      <c r="F190" s="30"/>
      <c r="G190" s="31" t="s">
        <v>56</v>
      </c>
      <c r="H190" s="30">
        <v>186</v>
      </c>
      <c r="I190" s="30">
        <v>2524</v>
      </c>
      <c r="J190" s="30">
        <v>13450484</v>
      </c>
      <c r="K190" s="30">
        <f>5530/3</f>
        <v>1843.3333333333333</v>
      </c>
      <c r="L190" s="24"/>
    </row>
    <row r="191" spans="1:12" x14ac:dyDescent="0.2">
      <c r="A191" s="30" t="s">
        <v>18</v>
      </c>
      <c r="B191" s="30">
        <v>331</v>
      </c>
      <c r="C191" s="30">
        <v>10006</v>
      </c>
      <c r="D191" s="30">
        <v>94785929</v>
      </c>
      <c r="E191" s="30">
        <f>9515/3</f>
        <v>3171.6666666666665</v>
      </c>
      <c r="F191" s="30"/>
      <c r="G191" s="30" t="s">
        <v>18</v>
      </c>
      <c r="H191" s="30">
        <v>183</v>
      </c>
      <c r="I191" s="30">
        <v>5747</v>
      </c>
      <c r="J191" s="30">
        <v>38909861</v>
      </c>
      <c r="K191" s="30">
        <f>6894/3</f>
        <v>2298</v>
      </c>
      <c r="L191" s="24"/>
    </row>
    <row r="192" spans="1:12" x14ac:dyDescent="0.2">
      <c r="A192" s="30" t="s">
        <v>19</v>
      </c>
      <c r="B192" s="30">
        <v>141</v>
      </c>
      <c r="C192" s="30">
        <v>9831</v>
      </c>
      <c r="D192" s="30">
        <v>100165990</v>
      </c>
      <c r="E192" s="30">
        <f>10220/3</f>
        <v>3406.6666666666665</v>
      </c>
      <c r="F192" s="30"/>
      <c r="G192" s="30" t="s">
        <v>19</v>
      </c>
      <c r="H192" s="30">
        <v>84</v>
      </c>
      <c r="I192" s="30">
        <v>5668</v>
      </c>
      <c r="J192" s="30">
        <v>41885296</v>
      </c>
      <c r="K192" s="30">
        <f>7457/3</f>
        <v>2485.6666666666665</v>
      </c>
      <c r="L192" s="24"/>
    </row>
    <row r="193" spans="1:12" x14ac:dyDescent="0.2">
      <c r="A193" s="30" t="s">
        <v>20</v>
      </c>
      <c r="B193" s="30">
        <v>103</v>
      </c>
      <c r="C193" s="30">
        <v>15040</v>
      </c>
      <c r="D193" s="30">
        <v>108313435</v>
      </c>
      <c r="E193" s="30">
        <f>7411/3</f>
        <v>2470.3333333333335</v>
      </c>
      <c r="F193" s="30"/>
      <c r="G193" s="30" t="s">
        <v>20</v>
      </c>
      <c r="H193" s="30">
        <v>42</v>
      </c>
      <c r="I193" s="30">
        <v>5960</v>
      </c>
      <c r="J193" s="30">
        <v>54522424</v>
      </c>
      <c r="K193" s="30">
        <f>9299/3</f>
        <v>3099.6666666666665</v>
      </c>
      <c r="L193" s="24"/>
    </row>
    <row r="194" spans="1:12" x14ac:dyDescent="0.2">
      <c r="A194" s="30" t="s">
        <v>21</v>
      </c>
      <c r="B194" s="30">
        <v>37</v>
      </c>
      <c r="C194" s="30">
        <v>12424</v>
      </c>
      <c r="D194" s="30">
        <v>116574631</v>
      </c>
      <c r="E194" s="30">
        <f>9216/3</f>
        <v>3072</v>
      </c>
      <c r="F194" s="30"/>
      <c r="G194" s="30" t="s">
        <v>59</v>
      </c>
      <c r="H194" s="30">
        <v>5</v>
      </c>
      <c r="I194" s="30">
        <v>1583</v>
      </c>
      <c r="J194" s="30">
        <v>17493698</v>
      </c>
      <c r="K194" s="30">
        <f>11461/3</f>
        <v>3820.3333333333335</v>
      </c>
      <c r="L194" s="24"/>
    </row>
    <row r="195" spans="1:12" x14ac:dyDescent="0.2">
      <c r="A195" s="30" t="s">
        <v>23</v>
      </c>
      <c r="B195" s="30">
        <v>23</v>
      </c>
      <c r="C195" s="30">
        <v>15321</v>
      </c>
      <c r="D195" s="30">
        <v>136284107</v>
      </c>
      <c r="E195" s="30">
        <f>8912/3</f>
        <v>2970.6666666666665</v>
      </c>
      <c r="F195" s="30"/>
      <c r="G195" s="30" t="s">
        <v>58</v>
      </c>
      <c r="H195" s="30">
        <v>5</v>
      </c>
      <c r="I195" s="30">
        <v>2806</v>
      </c>
      <c r="J195" s="30">
        <v>20728439</v>
      </c>
      <c r="K195" s="32">
        <f>7650/3</f>
        <v>2550</v>
      </c>
      <c r="L195" s="24"/>
    </row>
    <row r="196" spans="1:12" x14ac:dyDescent="0.2">
      <c r="A196" s="30" t="s">
        <v>24</v>
      </c>
      <c r="B196" s="30">
        <v>5</v>
      </c>
      <c r="C196" s="30">
        <v>7016</v>
      </c>
      <c r="D196" s="30">
        <v>50792160</v>
      </c>
      <c r="E196" s="30">
        <f>7064/3</f>
        <v>2354.6666666666665</v>
      </c>
      <c r="F196" s="30"/>
      <c r="G196" s="30" t="s">
        <v>24</v>
      </c>
      <c r="H196" s="30">
        <v>3</v>
      </c>
      <c r="I196" s="30">
        <v>22699</v>
      </c>
      <c r="J196" s="30">
        <v>147209234</v>
      </c>
      <c r="K196" s="30">
        <f>6535/3</f>
        <v>2178.3333333333335</v>
      </c>
      <c r="L196" s="24"/>
    </row>
    <row r="197" spans="1:12" x14ac:dyDescent="0.2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</row>
    <row r="198" spans="1:12" x14ac:dyDescent="0.2">
      <c r="A198" s="48" t="s">
        <v>62</v>
      </c>
      <c r="B198" s="49"/>
      <c r="C198" s="49"/>
      <c r="D198" s="49"/>
      <c r="E198" s="49"/>
      <c r="F198" s="49"/>
      <c r="G198" s="49"/>
      <c r="H198" s="49"/>
      <c r="I198" s="49"/>
    </row>
    <row r="202" spans="1:12" x14ac:dyDescent="0.2">
      <c r="D202" s="48"/>
      <c r="E202" s="49"/>
      <c r="F202" s="49"/>
      <c r="G202" s="49"/>
      <c r="H202" s="49"/>
    </row>
    <row r="203" spans="1:12" ht="14.25" x14ac:dyDescent="0.2">
      <c r="A203" s="50" t="s">
        <v>75</v>
      </c>
      <c r="B203" s="51"/>
      <c r="C203" s="51"/>
      <c r="D203" s="51"/>
      <c r="E203" s="51"/>
      <c r="F203" s="51"/>
      <c r="G203" s="51"/>
      <c r="H203" s="51"/>
      <c r="I203" s="51"/>
      <c r="J203" s="51"/>
      <c r="K203" s="51"/>
    </row>
    <row r="204" spans="1:12" x14ac:dyDescent="0.2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</row>
    <row r="205" spans="1:12" x14ac:dyDescent="0.2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</row>
    <row r="206" spans="1:12" x14ac:dyDescent="0.2">
      <c r="A206" s="43" t="s">
        <v>42</v>
      </c>
      <c r="B206" s="43"/>
      <c r="C206" s="43"/>
      <c r="D206" s="43"/>
      <c r="E206" s="43"/>
      <c r="F206" s="13"/>
      <c r="G206" s="43" t="s">
        <v>43</v>
      </c>
      <c r="H206" s="43"/>
      <c r="I206" s="43"/>
      <c r="J206" s="43"/>
      <c r="K206" s="43"/>
    </row>
    <row r="207" spans="1:12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</row>
    <row r="208" spans="1:12" x14ac:dyDescent="0.2">
      <c r="A208" s="15"/>
      <c r="B208" s="15"/>
      <c r="C208" s="15"/>
      <c r="D208" s="15" t="s">
        <v>2</v>
      </c>
      <c r="E208" s="15" t="s">
        <v>3</v>
      </c>
      <c r="F208" s="13"/>
      <c r="G208" s="15"/>
      <c r="H208" s="15"/>
      <c r="I208" s="15"/>
      <c r="J208" s="15" t="s">
        <v>2</v>
      </c>
      <c r="K208" s="15" t="s">
        <v>3</v>
      </c>
    </row>
    <row r="209" spans="1:24" x14ac:dyDescent="0.2">
      <c r="A209" s="16" t="s">
        <v>4</v>
      </c>
      <c r="B209" s="15" t="s">
        <v>5</v>
      </c>
      <c r="C209" s="15" t="s">
        <v>6</v>
      </c>
      <c r="D209" s="15" t="s">
        <v>7</v>
      </c>
      <c r="E209" s="15" t="s">
        <v>8</v>
      </c>
      <c r="F209" s="13"/>
      <c r="G209" s="16" t="s">
        <v>4</v>
      </c>
      <c r="H209" s="15" t="s">
        <v>5</v>
      </c>
      <c r="I209" s="15" t="s">
        <v>6</v>
      </c>
      <c r="J209" s="15" t="s">
        <v>7</v>
      </c>
      <c r="K209" s="15" t="s">
        <v>8</v>
      </c>
    </row>
    <row r="210" spans="1:24" x14ac:dyDescent="0.2">
      <c r="A210" s="16" t="s">
        <v>9</v>
      </c>
      <c r="B210" s="15" t="s">
        <v>10</v>
      </c>
      <c r="C210" s="15" t="s">
        <v>11</v>
      </c>
      <c r="D210" s="15" t="s">
        <v>12</v>
      </c>
      <c r="E210" s="15" t="s">
        <v>13</v>
      </c>
      <c r="F210" s="13"/>
      <c r="G210" s="16" t="s">
        <v>9</v>
      </c>
      <c r="H210" s="15" t="s">
        <v>10</v>
      </c>
      <c r="I210" s="15" t="s">
        <v>11</v>
      </c>
      <c r="J210" s="15" t="s">
        <v>12</v>
      </c>
      <c r="K210" s="15" t="s">
        <v>13</v>
      </c>
    </row>
    <row r="212" spans="1:24" x14ac:dyDescent="0.2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O212" s="6" t="s">
        <v>28</v>
      </c>
    </row>
    <row r="213" spans="1:24" s="14" customFormat="1" x14ac:dyDescent="0.2">
      <c r="A213" s="27" t="s">
        <v>27</v>
      </c>
      <c r="B213" s="27">
        <f>SUM(B215:B224)</f>
        <v>9885</v>
      </c>
      <c r="C213" s="27">
        <f>SUM(C215:C224)</f>
        <v>384919</v>
      </c>
      <c r="D213" s="28">
        <f>SUM(D215:D224)</f>
        <v>1576345559</v>
      </c>
      <c r="E213" s="28">
        <f>10600/3</f>
        <v>3533.3333333333335</v>
      </c>
      <c r="F213" s="27"/>
      <c r="G213" s="27" t="s">
        <v>27</v>
      </c>
      <c r="H213" s="27">
        <f>SUM(H215:H224)</f>
        <v>1257</v>
      </c>
      <c r="I213" s="27">
        <f>SUM(I215:I224)</f>
        <v>24880</v>
      </c>
      <c r="J213" s="28">
        <f>SUM(J215:J225)</f>
        <v>163513202</v>
      </c>
      <c r="K213" s="28">
        <f>6678/3</f>
        <v>2226</v>
      </c>
      <c r="L213" s="22"/>
    </row>
    <row r="214" spans="1:24" x14ac:dyDescent="0.2">
      <c r="A214" s="30" t="s">
        <v>28</v>
      </c>
      <c r="B214" s="30"/>
      <c r="C214" s="30"/>
      <c r="D214" s="30"/>
      <c r="E214" s="30"/>
      <c r="F214" s="30"/>
      <c r="G214" s="30" t="s">
        <v>28</v>
      </c>
      <c r="H214" s="30"/>
      <c r="I214" s="30"/>
      <c r="J214" s="30"/>
      <c r="K214" s="30"/>
      <c r="L214" s="24"/>
    </row>
    <row r="215" spans="1:24" x14ac:dyDescent="0.2">
      <c r="A215" s="30" t="s">
        <v>15</v>
      </c>
      <c r="B215" s="30">
        <v>926</v>
      </c>
      <c r="C215" s="30">
        <v>0</v>
      </c>
      <c r="D215" s="30">
        <v>6073784</v>
      </c>
      <c r="E215" s="30">
        <f>14336/3</f>
        <v>4778.666666666667</v>
      </c>
      <c r="F215" s="30"/>
      <c r="G215" s="30" t="s">
        <v>15</v>
      </c>
      <c r="H215" s="30">
        <v>219</v>
      </c>
      <c r="I215" s="30">
        <v>0</v>
      </c>
      <c r="J215" s="30">
        <v>412684</v>
      </c>
      <c r="K215" s="30">
        <f>4141/3</f>
        <v>1380.3333333333333</v>
      </c>
      <c r="L215" s="24"/>
    </row>
    <row r="216" spans="1:24" x14ac:dyDescent="0.2">
      <c r="A216" s="30" t="s">
        <v>16</v>
      </c>
      <c r="B216" s="30">
        <v>4832</v>
      </c>
      <c r="C216" s="30">
        <v>8525</v>
      </c>
      <c r="D216" s="30">
        <v>91013756</v>
      </c>
      <c r="E216" s="30">
        <f>10724/3</f>
        <v>3574.6666666666665</v>
      </c>
      <c r="F216" s="30"/>
      <c r="G216" s="30" t="s">
        <v>16</v>
      </c>
      <c r="H216" s="30">
        <v>510</v>
      </c>
      <c r="I216" s="30">
        <v>884</v>
      </c>
      <c r="J216" s="30">
        <v>6755036</v>
      </c>
      <c r="K216" s="30">
        <f>7752/3</f>
        <v>2584</v>
      </c>
      <c r="L216" s="24"/>
    </row>
    <row r="217" spans="1:24" x14ac:dyDescent="0.2">
      <c r="A217" s="30" t="s">
        <v>17</v>
      </c>
      <c r="B217" s="30">
        <v>1599</v>
      </c>
      <c r="C217" s="30">
        <v>10772</v>
      </c>
      <c r="D217" s="30">
        <v>86312952</v>
      </c>
      <c r="E217" s="30">
        <f>8059/3</f>
        <v>2686.3333333333335</v>
      </c>
      <c r="F217" s="30"/>
      <c r="G217" s="30" t="s">
        <v>17</v>
      </c>
      <c r="H217" s="30">
        <v>162</v>
      </c>
      <c r="I217" s="30">
        <v>1068</v>
      </c>
      <c r="J217" s="30">
        <v>6557929</v>
      </c>
      <c r="K217" s="30">
        <f>6440/3</f>
        <v>2146.6666666666665</v>
      </c>
      <c r="L217" s="24"/>
    </row>
    <row r="218" spans="1:24" x14ac:dyDescent="0.2">
      <c r="A218" s="31" t="s">
        <v>56</v>
      </c>
      <c r="B218" s="30">
        <v>1227</v>
      </c>
      <c r="C218" s="30">
        <v>16550</v>
      </c>
      <c r="D218" s="30">
        <v>129477923</v>
      </c>
      <c r="E218" s="30">
        <f>7905/3</f>
        <v>2635</v>
      </c>
      <c r="F218" s="30"/>
      <c r="G218" s="31" t="s">
        <v>56</v>
      </c>
      <c r="H218" s="30">
        <v>152</v>
      </c>
      <c r="I218" s="30">
        <v>2061</v>
      </c>
      <c r="J218" s="30">
        <v>10423561</v>
      </c>
      <c r="K218" s="30">
        <f>5444/3</f>
        <v>1814.6666666666667</v>
      </c>
      <c r="L218" s="24"/>
    </row>
    <row r="219" spans="1:24" x14ac:dyDescent="0.2">
      <c r="A219" s="30" t="s">
        <v>18</v>
      </c>
      <c r="B219" s="30">
        <v>809</v>
      </c>
      <c r="C219" s="30">
        <v>24265</v>
      </c>
      <c r="D219" s="30">
        <v>219854560</v>
      </c>
      <c r="E219" s="30">
        <f>9227/3</f>
        <v>3075.6666666666665</v>
      </c>
      <c r="F219" s="30"/>
      <c r="G219" s="30" t="s">
        <v>18</v>
      </c>
      <c r="H219" s="30">
        <v>118</v>
      </c>
      <c r="I219" s="30">
        <v>3836</v>
      </c>
      <c r="J219" s="30">
        <v>17297683</v>
      </c>
      <c r="K219" s="30">
        <f>4705/3</f>
        <v>1568.3333333333333</v>
      </c>
      <c r="L219" s="24"/>
    </row>
    <row r="220" spans="1:24" x14ac:dyDescent="0.2">
      <c r="A220" s="30" t="s">
        <v>19</v>
      </c>
      <c r="B220" s="30">
        <v>288</v>
      </c>
      <c r="C220" s="30">
        <v>20019</v>
      </c>
      <c r="D220" s="30">
        <v>172340364</v>
      </c>
      <c r="E220" s="30">
        <f>8716/3</f>
        <v>2905.3333333333335</v>
      </c>
      <c r="F220" s="30"/>
      <c r="G220" s="30" t="s">
        <v>19</v>
      </c>
      <c r="H220" s="30">
        <v>58</v>
      </c>
      <c r="I220" s="30">
        <v>3907</v>
      </c>
      <c r="J220" s="30">
        <v>16938339</v>
      </c>
      <c r="K220" s="30">
        <f>4328/3</f>
        <v>1442.6666666666667</v>
      </c>
      <c r="L220" s="24"/>
    </row>
    <row r="221" spans="1:24" x14ac:dyDescent="0.2">
      <c r="A221" s="30" t="s">
        <v>20</v>
      </c>
      <c r="B221" s="30">
        <v>153</v>
      </c>
      <c r="C221" s="30">
        <v>22931</v>
      </c>
      <c r="D221" s="30">
        <v>232673514</v>
      </c>
      <c r="E221" s="30">
        <f>10222/3</f>
        <v>3407.3333333333335</v>
      </c>
      <c r="F221" s="30"/>
      <c r="G221" s="30" t="s">
        <v>20</v>
      </c>
      <c r="H221" s="30">
        <v>24</v>
      </c>
      <c r="I221" s="30">
        <v>3476</v>
      </c>
      <c r="J221" s="30">
        <v>20579566</v>
      </c>
      <c r="K221" s="30">
        <f>6200/3</f>
        <v>2066.6666666666665</v>
      </c>
      <c r="L221" s="24"/>
    </row>
    <row r="222" spans="1:24" x14ac:dyDescent="0.2">
      <c r="A222" s="30" t="s">
        <v>21</v>
      </c>
      <c r="B222" s="30">
        <v>26</v>
      </c>
      <c r="C222" s="30">
        <v>9396</v>
      </c>
      <c r="D222" s="30">
        <v>118715843</v>
      </c>
      <c r="E222" s="30">
        <f>12644/3</f>
        <v>4214.666666666667</v>
      </c>
      <c r="F222" s="30"/>
      <c r="G222" s="30" t="s">
        <v>21</v>
      </c>
      <c r="H222" s="30">
        <v>8</v>
      </c>
      <c r="I222" s="30">
        <v>2816</v>
      </c>
      <c r="J222" s="30">
        <v>36848538</v>
      </c>
      <c r="K222" s="30">
        <f>12854/3</f>
        <v>4284.666666666667</v>
      </c>
      <c r="L222" s="24"/>
      <c r="X222" t="s">
        <v>28</v>
      </c>
    </row>
    <row r="223" spans="1:24" x14ac:dyDescent="0.2">
      <c r="A223" s="30" t="s">
        <v>23</v>
      </c>
      <c r="B223" s="30">
        <v>15</v>
      </c>
      <c r="C223" s="30">
        <v>10792</v>
      </c>
      <c r="D223" s="30">
        <v>126141190</v>
      </c>
      <c r="E223" s="30">
        <f>11686/3</f>
        <v>3895.3333333333335</v>
      </c>
      <c r="F223" s="30"/>
      <c r="G223" s="30" t="s">
        <v>31</v>
      </c>
      <c r="H223" s="30">
        <v>3</v>
      </c>
      <c r="I223" s="30">
        <v>1593</v>
      </c>
      <c r="J223" s="30">
        <v>8466918</v>
      </c>
      <c r="K223" s="32">
        <f>5757/3</f>
        <v>1919</v>
      </c>
      <c r="L223" s="24"/>
    </row>
    <row r="224" spans="1:24" x14ac:dyDescent="0.2">
      <c r="A224" s="30" t="s">
        <v>24</v>
      </c>
      <c r="B224" s="30">
        <v>10</v>
      </c>
      <c r="C224" s="30">
        <v>261669</v>
      </c>
      <c r="D224" s="30">
        <v>393741673</v>
      </c>
      <c r="E224" s="30">
        <f>15049/3</f>
        <v>5016.333333333333</v>
      </c>
      <c r="F224" s="30"/>
      <c r="G224" s="30" t="s">
        <v>24</v>
      </c>
      <c r="H224" s="30">
        <v>3</v>
      </c>
      <c r="I224" s="30">
        <v>5239</v>
      </c>
      <c r="J224" s="30">
        <v>39232948</v>
      </c>
      <c r="K224" s="30">
        <f>7357/3</f>
        <v>2452.3333333333335</v>
      </c>
      <c r="L224" s="24"/>
    </row>
    <row r="225" spans="1:29" x14ac:dyDescent="0.2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</row>
    <row r="227" spans="1:29" x14ac:dyDescent="0.2">
      <c r="A227" s="43" t="s">
        <v>44</v>
      </c>
      <c r="B227" s="43"/>
      <c r="C227" s="43"/>
      <c r="D227" s="43"/>
      <c r="E227" s="43"/>
      <c r="F227" s="13"/>
      <c r="G227" s="43" t="s">
        <v>45</v>
      </c>
      <c r="H227" s="43"/>
      <c r="I227" s="43"/>
      <c r="J227" s="43"/>
      <c r="K227" s="43"/>
    </row>
    <row r="228" spans="1:29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</row>
    <row r="229" spans="1:29" x14ac:dyDescent="0.2">
      <c r="A229" s="15"/>
      <c r="B229" s="15"/>
      <c r="C229" s="15"/>
      <c r="D229" s="15" t="s">
        <v>2</v>
      </c>
      <c r="E229" s="15" t="s">
        <v>3</v>
      </c>
      <c r="F229" s="13"/>
      <c r="G229" s="15"/>
      <c r="H229" s="15"/>
      <c r="I229" s="15"/>
      <c r="J229" s="15" t="s">
        <v>2</v>
      </c>
      <c r="K229" s="15" t="s">
        <v>3</v>
      </c>
    </row>
    <row r="230" spans="1:29" x14ac:dyDescent="0.2">
      <c r="A230" s="16" t="s">
        <v>4</v>
      </c>
      <c r="B230" s="15" t="s">
        <v>5</v>
      </c>
      <c r="C230" s="15" t="s">
        <v>6</v>
      </c>
      <c r="D230" s="15" t="s">
        <v>7</v>
      </c>
      <c r="E230" s="15" t="s">
        <v>8</v>
      </c>
      <c r="F230" s="13"/>
      <c r="G230" s="16" t="s">
        <v>4</v>
      </c>
      <c r="H230" s="15" t="s">
        <v>5</v>
      </c>
      <c r="I230" s="15" t="s">
        <v>6</v>
      </c>
      <c r="J230" s="15" t="s">
        <v>7</v>
      </c>
      <c r="K230" s="15" t="s">
        <v>8</v>
      </c>
    </row>
    <row r="231" spans="1:29" x14ac:dyDescent="0.2">
      <c r="A231" s="16" t="s">
        <v>9</v>
      </c>
      <c r="B231" s="15" t="s">
        <v>10</v>
      </c>
      <c r="C231" s="15" t="s">
        <v>11</v>
      </c>
      <c r="D231" s="15" t="s">
        <v>12</v>
      </c>
      <c r="E231" s="15" t="s">
        <v>13</v>
      </c>
      <c r="F231" s="13"/>
      <c r="G231" s="16" t="s">
        <v>9</v>
      </c>
      <c r="H231" s="15" t="s">
        <v>10</v>
      </c>
      <c r="I231" s="15" t="s">
        <v>11</v>
      </c>
      <c r="J231" s="15" t="s">
        <v>12</v>
      </c>
      <c r="K231" s="15" t="s">
        <v>13</v>
      </c>
    </row>
    <row r="233" spans="1:29" x14ac:dyDescent="0.2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</row>
    <row r="234" spans="1:29" s="14" customFormat="1" x14ac:dyDescent="0.2">
      <c r="A234" s="27" t="s">
        <v>27</v>
      </c>
      <c r="B234" s="27">
        <f>SUM(B236:B244)</f>
        <v>5664</v>
      </c>
      <c r="C234" s="27">
        <f>SUM(C236:C244)</f>
        <v>118370</v>
      </c>
      <c r="D234" s="27">
        <f>SUM(D236:D244)</f>
        <v>525987270</v>
      </c>
      <c r="E234" s="28">
        <f>4535/3</f>
        <v>1511.6666666666667</v>
      </c>
      <c r="F234" s="27"/>
      <c r="G234" s="27" t="s">
        <v>27</v>
      </c>
      <c r="H234" s="27">
        <f>SUM(H236:H244)</f>
        <v>5295</v>
      </c>
      <c r="I234" s="27">
        <f>SUM(I236:I244)</f>
        <v>39767</v>
      </c>
      <c r="J234" s="27">
        <f>SUM(J236:J244)</f>
        <v>332577943</v>
      </c>
      <c r="K234" s="28">
        <f>8427/3</f>
        <v>2809</v>
      </c>
      <c r="L234" s="22"/>
      <c r="M234" s="22"/>
      <c r="AA234" s="19"/>
    </row>
    <row r="235" spans="1:29" x14ac:dyDescent="0.2">
      <c r="A235" s="30" t="s">
        <v>28</v>
      </c>
      <c r="B235" s="30"/>
      <c r="C235" s="30"/>
      <c r="D235" s="30"/>
      <c r="E235" s="30"/>
      <c r="F235" s="30"/>
      <c r="G235" s="30" t="s">
        <v>28</v>
      </c>
      <c r="H235" s="30"/>
      <c r="I235" s="30"/>
      <c r="J235" s="30"/>
      <c r="K235" s="32"/>
      <c r="L235" s="24"/>
      <c r="M235" s="24"/>
    </row>
    <row r="236" spans="1:29" x14ac:dyDescent="0.2">
      <c r="A236" s="30" t="s">
        <v>15</v>
      </c>
      <c r="B236" s="30">
        <v>366</v>
      </c>
      <c r="C236" s="30">
        <v>0</v>
      </c>
      <c r="D236" s="30">
        <v>2822945</v>
      </c>
      <c r="E236" s="30">
        <f>5471/3</f>
        <v>1823.6666666666667</v>
      </c>
      <c r="F236" s="30"/>
      <c r="G236" s="30" t="s">
        <v>15</v>
      </c>
      <c r="H236" s="30">
        <v>467</v>
      </c>
      <c r="I236" s="30">
        <v>0</v>
      </c>
      <c r="J236" s="30">
        <v>1442826</v>
      </c>
      <c r="K236" s="30">
        <f>9484/3</f>
        <v>3161.3333333333335</v>
      </c>
      <c r="L236" s="24"/>
      <c r="M236" s="24"/>
      <c r="O236" s="8"/>
      <c r="P236" s="8"/>
      <c r="Y236" s="5"/>
      <c r="Z236" s="5"/>
      <c r="AA236" s="5"/>
      <c r="AB236" s="5"/>
      <c r="AC236" s="5"/>
    </row>
    <row r="237" spans="1:29" x14ac:dyDescent="0.2">
      <c r="A237" s="30" t="s">
        <v>16</v>
      </c>
      <c r="B237" s="30">
        <v>868</v>
      </c>
      <c r="C237" s="30">
        <v>2159</v>
      </c>
      <c r="D237" s="30">
        <v>13864648</v>
      </c>
      <c r="E237" s="30">
        <f>6500/3</f>
        <v>2166.6666666666665</v>
      </c>
      <c r="F237" s="30"/>
      <c r="G237" s="30" t="s">
        <v>16</v>
      </c>
      <c r="H237" s="30">
        <v>2747</v>
      </c>
      <c r="I237" s="30">
        <f>5470+7</f>
        <v>5477</v>
      </c>
      <c r="J237" s="30">
        <v>43884749</v>
      </c>
      <c r="K237" s="30">
        <f>8006/3</f>
        <v>2668.6666666666665</v>
      </c>
      <c r="L237" s="24"/>
      <c r="M237" s="24"/>
      <c r="O237" s="8"/>
      <c r="P237" s="8"/>
      <c r="Y237" s="5"/>
      <c r="Z237" s="5"/>
      <c r="AA237" s="5"/>
      <c r="AB237" s="5"/>
      <c r="AC237" s="5"/>
    </row>
    <row r="238" spans="1:29" x14ac:dyDescent="0.2">
      <c r="A238" s="30" t="s">
        <v>17</v>
      </c>
      <c r="B238" s="30">
        <v>895</v>
      </c>
      <c r="C238" s="30">
        <v>6261</v>
      </c>
      <c r="D238" s="30">
        <v>23216708</v>
      </c>
      <c r="E238" s="30">
        <f>3866/3</f>
        <v>1288.6666666666667</v>
      </c>
      <c r="F238" s="30"/>
      <c r="G238" s="30" t="s">
        <v>17</v>
      </c>
      <c r="H238" s="30">
        <v>1089</v>
      </c>
      <c r="I238" s="30">
        <v>7224</v>
      </c>
      <c r="J238" s="30">
        <v>53256625</v>
      </c>
      <c r="K238" s="30">
        <f>7463/3</f>
        <v>2487.6666666666665</v>
      </c>
      <c r="L238" s="24"/>
      <c r="M238" s="24"/>
      <c r="O238" s="8"/>
      <c r="P238" s="8"/>
      <c r="Y238" s="5"/>
      <c r="Z238" s="5"/>
      <c r="AA238" s="5"/>
      <c r="AB238" s="5"/>
      <c r="AC238" s="5"/>
    </row>
    <row r="239" spans="1:29" x14ac:dyDescent="0.2">
      <c r="A239" s="31" t="s">
        <v>56</v>
      </c>
      <c r="B239" s="30">
        <v>1411</v>
      </c>
      <c r="C239" s="30">
        <v>20221</v>
      </c>
      <c r="D239" s="30">
        <v>72022427</v>
      </c>
      <c r="E239" s="30">
        <f>3674/3</f>
        <v>1224.6666666666667</v>
      </c>
      <c r="F239" s="30"/>
      <c r="G239" s="31" t="s">
        <v>56</v>
      </c>
      <c r="H239" s="30">
        <v>668</v>
      </c>
      <c r="I239" s="30">
        <v>8674</v>
      </c>
      <c r="J239" s="30">
        <v>66541190</v>
      </c>
      <c r="K239" s="30">
        <f>7881/3</f>
        <v>2627</v>
      </c>
      <c r="L239" s="24"/>
      <c r="M239" s="24"/>
      <c r="O239" s="8"/>
      <c r="P239" s="8"/>
      <c r="Y239" s="5"/>
      <c r="Z239" s="5"/>
      <c r="AA239" s="5"/>
      <c r="AB239" s="5"/>
      <c r="AC239" s="5"/>
    </row>
    <row r="240" spans="1:29" x14ac:dyDescent="0.2">
      <c r="A240" s="30" t="s">
        <v>18</v>
      </c>
      <c r="B240" s="30">
        <v>1696</v>
      </c>
      <c r="C240" s="30">
        <v>50436</v>
      </c>
      <c r="D240" s="30">
        <v>193070053</v>
      </c>
      <c r="E240" s="30">
        <f>3947/3</f>
        <v>1315.6666666666667</v>
      </c>
      <c r="F240" s="30"/>
      <c r="G240" s="30" t="s">
        <v>18</v>
      </c>
      <c r="H240" s="30">
        <v>237</v>
      </c>
      <c r="I240" s="30">
        <v>6869</v>
      </c>
      <c r="J240" s="30">
        <v>54825204</v>
      </c>
      <c r="K240" s="30">
        <f>8099/3</f>
        <v>2699.6666666666665</v>
      </c>
      <c r="L240" s="24"/>
      <c r="M240" s="24"/>
      <c r="O240" s="8"/>
      <c r="P240" s="8"/>
      <c r="Y240" s="5"/>
      <c r="Z240" s="5"/>
      <c r="AA240" s="5"/>
      <c r="AB240" s="5"/>
      <c r="AC240" s="5"/>
    </row>
    <row r="241" spans="1:29" x14ac:dyDescent="0.2">
      <c r="A241" s="30" t="s">
        <v>19</v>
      </c>
      <c r="B241" s="30">
        <v>348</v>
      </c>
      <c r="C241" s="30">
        <v>22660</v>
      </c>
      <c r="D241" s="30">
        <v>104154353</v>
      </c>
      <c r="E241" s="30">
        <f>4689/3</f>
        <v>1563</v>
      </c>
      <c r="F241" s="30"/>
      <c r="G241" s="30" t="s">
        <v>19</v>
      </c>
      <c r="H241" s="30">
        <v>59</v>
      </c>
      <c r="I241" s="30">
        <v>4107</v>
      </c>
      <c r="J241" s="30">
        <v>35963179</v>
      </c>
      <c r="K241" s="30">
        <f>8850/3</f>
        <v>2950</v>
      </c>
      <c r="L241" s="24"/>
      <c r="M241" s="24"/>
      <c r="O241" s="8"/>
      <c r="P241" s="8"/>
      <c r="Y241" s="5"/>
      <c r="Z241" s="5"/>
      <c r="AA241" s="5"/>
      <c r="AB241" s="5"/>
      <c r="AC241" s="5"/>
    </row>
    <row r="242" spans="1:29" x14ac:dyDescent="0.2">
      <c r="A242" s="30" t="s">
        <v>20</v>
      </c>
      <c r="B242" s="30">
        <v>66</v>
      </c>
      <c r="C242" s="30">
        <v>8977</v>
      </c>
      <c r="D242" s="30">
        <v>54402353</v>
      </c>
      <c r="E242" s="30">
        <f>6171/3</f>
        <v>2057</v>
      </c>
      <c r="F242" s="30"/>
      <c r="G242" s="30" t="s">
        <v>20</v>
      </c>
      <c r="H242" s="30">
        <v>18</v>
      </c>
      <c r="I242" s="30">
        <v>2689</v>
      </c>
      <c r="J242" s="30">
        <v>27723074</v>
      </c>
      <c r="K242" s="30">
        <f>10366/3</f>
        <v>3455.3333333333335</v>
      </c>
      <c r="L242" s="24"/>
      <c r="M242" s="24"/>
      <c r="O242" s="8"/>
      <c r="P242" s="8"/>
      <c r="Y242" s="5"/>
      <c r="Z242" s="5"/>
      <c r="AA242" s="5"/>
      <c r="AB242" s="5"/>
      <c r="AC242" s="5"/>
    </row>
    <row r="243" spans="1:29" x14ac:dyDescent="0.2">
      <c r="A243" s="30" t="s">
        <v>21</v>
      </c>
      <c r="B243" s="30">
        <v>8</v>
      </c>
      <c r="C243" s="30">
        <v>2657</v>
      </c>
      <c r="D243" s="30">
        <v>18047795</v>
      </c>
      <c r="E243" s="30">
        <f>6792/3</f>
        <v>2264</v>
      </c>
      <c r="F243" s="30"/>
      <c r="G243" s="30" t="s">
        <v>21</v>
      </c>
      <c r="H243" s="30">
        <v>6</v>
      </c>
      <c r="I243" s="30">
        <v>2178</v>
      </c>
      <c r="J243" s="30">
        <v>16111727</v>
      </c>
      <c r="K243" s="30">
        <f>7428/3</f>
        <v>2476</v>
      </c>
      <c r="L243" s="24"/>
      <c r="M243" s="24"/>
      <c r="O243" s="8"/>
      <c r="P243" s="8"/>
      <c r="Y243" s="5"/>
      <c r="Z243" s="5"/>
      <c r="AA243" s="5"/>
      <c r="AB243" s="5"/>
      <c r="AC243" s="5"/>
    </row>
    <row r="244" spans="1:29" x14ac:dyDescent="0.2">
      <c r="A244" s="30" t="s">
        <v>31</v>
      </c>
      <c r="B244" s="30">
        <v>6</v>
      </c>
      <c r="C244" s="30">
        <f>3399+1600</f>
        <v>4999</v>
      </c>
      <c r="D244" s="30">
        <f>32924688+11461300</f>
        <v>44385988</v>
      </c>
      <c r="E244" s="32">
        <f>(32924688+11461300)/(3498+1657+3534+1670+3399+1600)</f>
        <v>2890.0890740981899</v>
      </c>
      <c r="F244" s="30"/>
      <c r="G244" s="30" t="s">
        <v>54</v>
      </c>
      <c r="H244" s="30">
        <v>4</v>
      </c>
      <c r="I244" s="30">
        <v>2549</v>
      </c>
      <c r="J244" s="30">
        <v>32829369</v>
      </c>
      <c r="K244" s="30">
        <f>12738/3</f>
        <v>4246</v>
      </c>
      <c r="L244" s="24"/>
      <c r="M244" s="24"/>
      <c r="O244" s="8"/>
      <c r="P244" s="8"/>
      <c r="Y244" s="5"/>
      <c r="Z244" s="5"/>
      <c r="AA244" s="5"/>
      <c r="AB244" s="5"/>
      <c r="AC244" s="5"/>
    </row>
    <row r="245" spans="1:29" x14ac:dyDescent="0.2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O245" s="8"/>
      <c r="P245" s="8"/>
      <c r="Y245" s="5"/>
      <c r="Z245" s="5"/>
      <c r="AA245" s="5"/>
      <c r="AB245" s="5"/>
      <c r="AC245" s="5"/>
    </row>
    <row r="246" spans="1:29" x14ac:dyDescent="0.2">
      <c r="Y246" s="5"/>
      <c r="Z246" s="5"/>
      <c r="AA246" s="5"/>
      <c r="AB246" s="5"/>
      <c r="AC246" s="5"/>
    </row>
    <row r="247" spans="1:29" x14ac:dyDescent="0.2">
      <c r="A247" s="48" t="s">
        <v>62</v>
      </c>
      <c r="B247" s="49"/>
      <c r="C247" s="49"/>
      <c r="D247" s="49"/>
      <c r="E247" s="49"/>
      <c r="F247" s="49"/>
      <c r="G247" s="49"/>
      <c r="H247" s="49"/>
      <c r="I247" s="49"/>
    </row>
    <row r="251" spans="1:29" x14ac:dyDescent="0.2">
      <c r="D251" s="48"/>
      <c r="E251" s="49"/>
      <c r="F251" s="49"/>
      <c r="G251" s="49"/>
      <c r="H251" s="49"/>
    </row>
    <row r="252" spans="1:29" ht="14.25" x14ac:dyDescent="0.2">
      <c r="A252" s="50" t="s">
        <v>75</v>
      </c>
      <c r="B252" s="51"/>
      <c r="C252" s="51"/>
      <c r="D252" s="51"/>
      <c r="E252" s="51"/>
      <c r="F252" s="51"/>
      <c r="G252" s="51"/>
      <c r="H252" s="51"/>
      <c r="I252" s="51"/>
      <c r="J252" s="51"/>
      <c r="K252" s="51"/>
    </row>
    <row r="253" spans="1:29" x14ac:dyDescent="0.2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</row>
    <row r="254" spans="1:29" x14ac:dyDescent="0.2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</row>
    <row r="255" spans="1:29" x14ac:dyDescent="0.2">
      <c r="A255" s="43" t="s">
        <v>53</v>
      </c>
      <c r="B255" s="43"/>
      <c r="C255" s="43"/>
      <c r="D255" s="43"/>
      <c r="E255" s="43"/>
      <c r="F255" s="13"/>
      <c r="G255" s="43" t="s">
        <v>46</v>
      </c>
      <c r="H255" s="43"/>
      <c r="I255" s="43"/>
      <c r="J255" s="43"/>
      <c r="K255" s="43"/>
    </row>
    <row r="256" spans="1:29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</row>
    <row r="257" spans="1:11" x14ac:dyDescent="0.2">
      <c r="A257" s="15"/>
      <c r="B257" s="15"/>
      <c r="C257" s="15"/>
      <c r="D257" s="15" t="s">
        <v>2</v>
      </c>
      <c r="E257" s="15" t="s">
        <v>3</v>
      </c>
      <c r="F257" s="13"/>
      <c r="G257" s="15"/>
      <c r="H257" s="15"/>
      <c r="I257" s="15"/>
      <c r="J257" s="15" t="s">
        <v>2</v>
      </c>
      <c r="K257" s="15" t="s">
        <v>3</v>
      </c>
    </row>
    <row r="258" spans="1:11" x14ac:dyDescent="0.2">
      <c r="A258" s="16" t="s">
        <v>4</v>
      </c>
      <c r="B258" s="15" t="s">
        <v>5</v>
      </c>
      <c r="C258" s="15" t="s">
        <v>6</v>
      </c>
      <c r="D258" s="15" t="s">
        <v>7</v>
      </c>
      <c r="E258" s="15" t="s">
        <v>8</v>
      </c>
      <c r="F258" s="13"/>
      <c r="G258" s="16" t="s">
        <v>4</v>
      </c>
      <c r="H258" s="15" t="s">
        <v>5</v>
      </c>
      <c r="I258" s="15" t="s">
        <v>6</v>
      </c>
      <c r="J258" s="15" t="s">
        <v>7</v>
      </c>
      <c r="K258" s="15" t="s">
        <v>8</v>
      </c>
    </row>
    <row r="259" spans="1:11" x14ac:dyDescent="0.2">
      <c r="A259" s="16" t="s">
        <v>9</v>
      </c>
      <c r="B259" s="15" t="s">
        <v>10</v>
      </c>
      <c r="C259" s="15" t="s">
        <v>11</v>
      </c>
      <c r="D259" s="15" t="s">
        <v>12</v>
      </c>
      <c r="E259" s="15" t="s">
        <v>13</v>
      </c>
      <c r="F259" s="13"/>
      <c r="G259" s="16" t="s">
        <v>9</v>
      </c>
      <c r="H259" s="15" t="s">
        <v>10</v>
      </c>
      <c r="I259" s="15" t="s">
        <v>11</v>
      </c>
      <c r="J259" s="15" t="s">
        <v>12</v>
      </c>
      <c r="K259" s="15" t="s">
        <v>13</v>
      </c>
    </row>
    <row r="262" spans="1:11" s="14" customFormat="1" x14ac:dyDescent="0.2">
      <c r="A262" s="14" t="s">
        <v>27</v>
      </c>
      <c r="B262" s="14">
        <f>SUM(B264:B273)</f>
        <v>3754</v>
      </c>
      <c r="C262" s="14">
        <f>SUM(C264:C273)</f>
        <v>246911</v>
      </c>
      <c r="D262" s="17">
        <f>SUM(D264:D273)</f>
        <v>2603442166</v>
      </c>
      <c r="E262" s="20">
        <f>10615/3</f>
        <v>3538.3333333333335</v>
      </c>
      <c r="G262" s="14" t="s">
        <v>27</v>
      </c>
      <c r="H262" s="14">
        <f>SUM(H264:H273)</f>
        <v>544</v>
      </c>
      <c r="I262" s="14">
        <f>SUM(I264:I273)</f>
        <v>36076</v>
      </c>
      <c r="J262" s="17">
        <f>SUM(J264:J273)</f>
        <v>624087799</v>
      </c>
      <c r="K262" s="17">
        <f>17381/3</f>
        <v>5793.666666666667</v>
      </c>
    </row>
    <row r="263" spans="1:11" x14ac:dyDescent="0.2">
      <c r="A263" t="s">
        <v>28</v>
      </c>
      <c r="G263" t="s">
        <v>28</v>
      </c>
    </row>
    <row r="264" spans="1:11" x14ac:dyDescent="0.2">
      <c r="A264" t="s">
        <v>15</v>
      </c>
      <c r="B264">
        <v>62</v>
      </c>
      <c r="C264">
        <v>0</v>
      </c>
      <c r="D264">
        <v>35858</v>
      </c>
      <c r="E264">
        <f>5379/3</f>
        <v>1793</v>
      </c>
      <c r="G264" t="s">
        <v>15</v>
      </c>
      <c r="H264">
        <v>15</v>
      </c>
      <c r="I264">
        <v>0</v>
      </c>
      <c r="J264">
        <v>18352</v>
      </c>
      <c r="K264">
        <f>27528/3</f>
        <v>9176</v>
      </c>
    </row>
    <row r="265" spans="1:11" x14ac:dyDescent="0.2">
      <c r="A265" t="s">
        <v>16</v>
      </c>
      <c r="B265">
        <v>762</v>
      </c>
      <c r="C265">
        <v>1738</v>
      </c>
      <c r="D265">
        <v>18865562</v>
      </c>
      <c r="E265">
        <f>10754/3</f>
        <v>3584.6666666666665</v>
      </c>
      <c r="G265" t="s">
        <v>16</v>
      </c>
      <c r="H265">
        <v>234</v>
      </c>
      <c r="I265">
        <v>458</v>
      </c>
      <c r="J265">
        <v>6196983</v>
      </c>
      <c r="K265">
        <f>13404/3</f>
        <v>4468</v>
      </c>
    </row>
    <row r="266" spans="1:11" x14ac:dyDescent="0.2">
      <c r="A266" t="s">
        <v>17</v>
      </c>
      <c r="B266">
        <v>624</v>
      </c>
      <c r="C266">
        <v>4129</v>
      </c>
      <c r="D266">
        <v>35816115</v>
      </c>
      <c r="E266">
        <f>8687/3</f>
        <v>2895.6666666666665</v>
      </c>
      <c r="G266" t="s">
        <v>17</v>
      </c>
      <c r="H266">
        <v>75</v>
      </c>
      <c r="I266">
        <v>507</v>
      </c>
      <c r="J266">
        <v>6712531</v>
      </c>
      <c r="K266">
        <f>13461/3</f>
        <v>4487</v>
      </c>
    </row>
    <row r="267" spans="1:11" x14ac:dyDescent="0.2">
      <c r="A267" s="3" t="s">
        <v>56</v>
      </c>
      <c r="B267">
        <v>524</v>
      </c>
      <c r="C267">
        <v>7281</v>
      </c>
      <c r="D267">
        <v>75925186</v>
      </c>
      <c r="E267">
        <f>10543/3</f>
        <v>3514.3333333333335</v>
      </c>
      <c r="G267" s="3" t="s">
        <v>56</v>
      </c>
      <c r="H267">
        <v>80</v>
      </c>
      <c r="I267">
        <v>1106</v>
      </c>
      <c r="J267">
        <v>18989203</v>
      </c>
      <c r="K267">
        <f>17453/3</f>
        <v>5817.666666666667</v>
      </c>
    </row>
    <row r="268" spans="1:11" x14ac:dyDescent="0.2">
      <c r="A268" t="s">
        <v>18</v>
      </c>
      <c r="B268">
        <v>684</v>
      </c>
      <c r="C268">
        <v>22464</v>
      </c>
      <c r="D268">
        <v>218716221</v>
      </c>
      <c r="E268">
        <f>9790/3</f>
        <v>3263.3333333333335</v>
      </c>
      <c r="G268" t="s">
        <v>18</v>
      </c>
      <c r="H268">
        <v>65</v>
      </c>
      <c r="I268">
        <v>2117</v>
      </c>
      <c r="J268">
        <v>33036683</v>
      </c>
      <c r="K268">
        <f>15677/3</f>
        <v>5225.666666666667</v>
      </c>
    </row>
    <row r="269" spans="1:11" x14ac:dyDescent="0.2">
      <c r="A269" t="s">
        <v>19</v>
      </c>
      <c r="B269">
        <v>724</v>
      </c>
      <c r="C269">
        <v>50199</v>
      </c>
      <c r="D269">
        <v>456242728</v>
      </c>
      <c r="E269">
        <f>9112/3</f>
        <v>3037.3333333333335</v>
      </c>
      <c r="F269" t="s">
        <v>28</v>
      </c>
      <c r="G269" t="s">
        <v>19</v>
      </c>
      <c r="H269">
        <v>41</v>
      </c>
      <c r="I269">
        <v>3016</v>
      </c>
      <c r="J269">
        <v>51514998</v>
      </c>
      <c r="K269">
        <f>17111/3</f>
        <v>5703.666666666667</v>
      </c>
    </row>
    <row r="270" spans="1:11" x14ac:dyDescent="0.2">
      <c r="A270" t="s">
        <v>20</v>
      </c>
      <c r="B270">
        <v>262</v>
      </c>
      <c r="C270">
        <v>38728</v>
      </c>
      <c r="D270">
        <v>371584138</v>
      </c>
      <c r="E270">
        <f>9613/3</f>
        <v>3204.3333333333335</v>
      </c>
      <c r="G270" t="s">
        <v>20</v>
      </c>
      <c r="H270">
        <v>19</v>
      </c>
      <c r="I270">
        <v>3124</v>
      </c>
      <c r="J270">
        <v>62429298</v>
      </c>
      <c r="K270">
        <f>20001/3</f>
        <v>6667</v>
      </c>
    </row>
    <row r="271" spans="1:11" x14ac:dyDescent="0.2">
      <c r="A271" t="s">
        <v>21</v>
      </c>
      <c r="B271">
        <v>64</v>
      </c>
      <c r="C271">
        <v>22234</v>
      </c>
      <c r="D271">
        <v>228588772</v>
      </c>
      <c r="E271">
        <f>10375/3</f>
        <v>3458.3333333333335</v>
      </c>
      <c r="G271" t="s">
        <v>21</v>
      </c>
      <c r="H271">
        <v>8</v>
      </c>
      <c r="I271">
        <v>2890</v>
      </c>
      <c r="J271">
        <v>56323626</v>
      </c>
      <c r="K271">
        <f>19424/3</f>
        <v>6474.666666666667</v>
      </c>
    </row>
    <row r="272" spans="1:11" x14ac:dyDescent="0.2">
      <c r="A272" t="s">
        <v>23</v>
      </c>
      <c r="B272">
        <v>27</v>
      </c>
      <c r="C272">
        <v>18054</v>
      </c>
      <c r="D272">
        <v>182734527</v>
      </c>
      <c r="E272">
        <f>10222/3</f>
        <v>3407.3333333333335</v>
      </c>
      <c r="G272" t="s">
        <v>55</v>
      </c>
      <c r="H272">
        <v>3</v>
      </c>
      <c r="I272">
        <v>1741</v>
      </c>
      <c r="J272">
        <v>29764148</v>
      </c>
      <c r="K272">
        <f>17037/3</f>
        <v>5679</v>
      </c>
    </row>
    <row r="273" spans="1:11" x14ac:dyDescent="0.2">
      <c r="A273" t="s">
        <v>24</v>
      </c>
      <c r="B273">
        <v>21</v>
      </c>
      <c r="C273">
        <v>82084</v>
      </c>
      <c r="D273">
        <v>1014933059</v>
      </c>
      <c r="E273">
        <f>12500/3</f>
        <v>4166.666666666667</v>
      </c>
      <c r="G273" t="s">
        <v>24</v>
      </c>
      <c r="H273">
        <v>4</v>
      </c>
      <c r="I273">
        <v>21117</v>
      </c>
      <c r="J273">
        <v>359101977</v>
      </c>
      <c r="K273">
        <f>17124/3</f>
        <v>5708</v>
      </c>
    </row>
    <row r="277" spans="1:11" x14ac:dyDescent="0.2">
      <c r="A277" s="43" t="s">
        <v>47</v>
      </c>
      <c r="B277" s="43"/>
      <c r="C277" s="43"/>
      <c r="D277" s="43"/>
      <c r="E277" s="43"/>
      <c r="F277" s="13"/>
      <c r="G277" s="43" t="s">
        <v>48</v>
      </c>
      <c r="H277" s="43"/>
      <c r="I277" s="43"/>
      <c r="J277" s="43"/>
      <c r="K277" s="43"/>
    </row>
    <row r="278" spans="1:11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</row>
    <row r="279" spans="1:11" x14ac:dyDescent="0.2">
      <c r="A279" s="15"/>
      <c r="B279" s="15"/>
      <c r="C279" s="15"/>
      <c r="D279" s="15" t="s">
        <v>2</v>
      </c>
      <c r="E279" s="15" t="s">
        <v>3</v>
      </c>
      <c r="F279" s="13"/>
      <c r="G279" s="15"/>
      <c r="H279" s="15"/>
      <c r="I279" s="15"/>
      <c r="J279" s="15" t="s">
        <v>2</v>
      </c>
      <c r="K279" s="15" t="s">
        <v>3</v>
      </c>
    </row>
    <row r="280" spans="1:11" x14ac:dyDescent="0.2">
      <c r="A280" s="16" t="s">
        <v>4</v>
      </c>
      <c r="B280" s="15" t="s">
        <v>5</v>
      </c>
      <c r="C280" s="15" t="s">
        <v>6</v>
      </c>
      <c r="D280" s="15" t="s">
        <v>7</v>
      </c>
      <c r="E280" s="15" t="s">
        <v>8</v>
      </c>
      <c r="F280" s="13"/>
      <c r="G280" s="16" t="s">
        <v>4</v>
      </c>
      <c r="H280" s="15" t="s">
        <v>5</v>
      </c>
      <c r="I280" s="15" t="s">
        <v>6</v>
      </c>
      <c r="J280" s="15" t="s">
        <v>7</v>
      </c>
      <c r="K280" s="15" t="s">
        <v>8</v>
      </c>
    </row>
    <row r="281" spans="1:11" x14ac:dyDescent="0.2">
      <c r="A281" s="16" t="s">
        <v>9</v>
      </c>
      <c r="B281" s="15" t="s">
        <v>10</v>
      </c>
      <c r="C281" s="15" t="s">
        <v>11</v>
      </c>
      <c r="D281" s="15" t="s">
        <v>12</v>
      </c>
      <c r="E281" s="15" t="s">
        <v>13</v>
      </c>
      <c r="F281" s="13"/>
      <c r="G281" s="16" t="s">
        <v>9</v>
      </c>
      <c r="H281" s="15" t="s">
        <v>10</v>
      </c>
      <c r="I281" s="15" t="s">
        <v>11</v>
      </c>
      <c r="J281" s="15" t="s">
        <v>12</v>
      </c>
      <c r="K281" s="15" t="s">
        <v>13</v>
      </c>
    </row>
    <row r="283" spans="1:11" x14ac:dyDescent="0.2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</row>
    <row r="284" spans="1:11" s="14" customFormat="1" x14ac:dyDescent="0.2">
      <c r="A284" s="27" t="s">
        <v>27</v>
      </c>
      <c r="B284" s="27">
        <f>SUM(B286:B297)</f>
        <v>26</v>
      </c>
      <c r="C284" s="27">
        <f>SUM(C286:C297)</f>
        <v>14676</v>
      </c>
      <c r="D284" s="28">
        <f>SUM(D286:D297)</f>
        <v>259664248</v>
      </c>
      <c r="E284" s="28">
        <f>17670/3</f>
        <v>5890</v>
      </c>
      <c r="F284" s="27"/>
      <c r="G284" s="27" t="s">
        <v>27</v>
      </c>
      <c r="H284" s="27">
        <f>SUM(H286:H295)</f>
        <v>543</v>
      </c>
      <c r="I284" s="27">
        <f>SUM(I286:I295)</f>
        <v>82346</v>
      </c>
      <c r="J284" s="28">
        <f>SUM(J286:J295)</f>
        <v>884855038</v>
      </c>
      <c r="K284" s="28">
        <f>10863/3</f>
        <v>3621</v>
      </c>
    </row>
    <row r="285" spans="1:11" x14ac:dyDescent="0.2">
      <c r="A285" s="30"/>
      <c r="B285" s="30"/>
      <c r="C285" s="30"/>
      <c r="D285" s="30"/>
      <c r="E285" s="30"/>
      <c r="F285" s="30"/>
      <c r="G285" s="30" t="s">
        <v>28</v>
      </c>
      <c r="H285" s="30"/>
      <c r="I285" s="30"/>
      <c r="J285" s="30"/>
      <c r="K285" s="30"/>
    </row>
    <row r="286" spans="1:11" x14ac:dyDescent="0.2">
      <c r="A286" s="35">
        <v>0</v>
      </c>
      <c r="B286" s="30">
        <v>1</v>
      </c>
      <c r="C286" s="30">
        <v>0</v>
      </c>
      <c r="D286" s="30">
        <v>0</v>
      </c>
      <c r="E286" s="30">
        <v>0</v>
      </c>
      <c r="F286" s="30"/>
      <c r="G286" s="35">
        <v>0</v>
      </c>
      <c r="H286" s="30">
        <v>4</v>
      </c>
      <c r="I286" s="30">
        <v>0</v>
      </c>
      <c r="J286" s="32">
        <v>210</v>
      </c>
      <c r="K286" s="32">
        <f>630/3</f>
        <v>210</v>
      </c>
    </row>
    <row r="287" spans="1:11" x14ac:dyDescent="0.2">
      <c r="A287" s="31" t="s">
        <v>16</v>
      </c>
      <c r="B287" s="30">
        <v>5</v>
      </c>
      <c r="C287" s="30">
        <v>12</v>
      </c>
      <c r="D287" s="30">
        <v>230251</v>
      </c>
      <c r="E287" s="30">
        <f>17269/3</f>
        <v>5756.333333333333</v>
      </c>
      <c r="F287" s="30"/>
      <c r="G287" s="31" t="s">
        <v>16</v>
      </c>
      <c r="H287" s="30">
        <v>131</v>
      </c>
      <c r="I287" s="30">
        <v>308</v>
      </c>
      <c r="J287" s="30">
        <v>4422002</v>
      </c>
      <c r="K287" s="30">
        <f>14342/3</f>
        <v>4780.666666666667</v>
      </c>
    </row>
    <row r="288" spans="1:11" x14ac:dyDescent="0.2">
      <c r="A288" s="30" t="s">
        <v>17</v>
      </c>
      <c r="B288" s="30">
        <v>4</v>
      </c>
      <c r="C288" s="30">
        <v>26</v>
      </c>
      <c r="D288" s="30">
        <v>387543</v>
      </c>
      <c r="E288" s="30">
        <f>15926/3</f>
        <v>5308.666666666667</v>
      </c>
      <c r="F288" s="30"/>
      <c r="G288" s="30" t="s">
        <v>17</v>
      </c>
      <c r="H288" s="30">
        <v>93</v>
      </c>
      <c r="I288" s="30">
        <v>624</v>
      </c>
      <c r="J288" s="30">
        <v>7130959</v>
      </c>
      <c r="K288" s="30">
        <f>11440/3</f>
        <v>3813.3333333333335</v>
      </c>
    </row>
    <row r="289" spans="1:11" x14ac:dyDescent="0.2">
      <c r="A289" s="31" t="s">
        <v>56</v>
      </c>
      <c r="B289" s="30">
        <v>2</v>
      </c>
      <c r="C289" s="30">
        <v>24</v>
      </c>
      <c r="D289" s="30">
        <v>412217</v>
      </c>
      <c r="E289" s="30">
        <f>17176/3</f>
        <v>5725.333333333333</v>
      </c>
      <c r="F289" s="30"/>
      <c r="G289" s="31" t="s">
        <v>56</v>
      </c>
      <c r="H289" s="30">
        <v>83</v>
      </c>
      <c r="I289" s="30">
        <v>1182</v>
      </c>
      <c r="J289" s="30">
        <v>10451245</v>
      </c>
      <c r="K289" s="30">
        <f>8877/3</f>
        <v>2959</v>
      </c>
    </row>
    <row r="290" spans="1:11" x14ac:dyDescent="0.2">
      <c r="A290" s="30" t="s">
        <v>18</v>
      </c>
      <c r="B290" s="30">
        <v>4</v>
      </c>
      <c r="C290" s="30">
        <v>128</v>
      </c>
      <c r="D290" s="30">
        <v>2030983</v>
      </c>
      <c r="E290" s="30">
        <f>15826/3</f>
        <v>5275.333333333333</v>
      </c>
      <c r="F290" s="30"/>
      <c r="G290" s="30" t="s">
        <v>18</v>
      </c>
      <c r="H290" s="30">
        <v>117</v>
      </c>
      <c r="I290" s="30">
        <v>3548</v>
      </c>
      <c r="J290" s="30">
        <v>36197989</v>
      </c>
      <c r="K290" s="30">
        <f>10227/3</f>
        <v>3409</v>
      </c>
    </row>
    <row r="291" spans="1:11" x14ac:dyDescent="0.2">
      <c r="A291" s="30" t="s">
        <v>19</v>
      </c>
      <c r="B291" s="30">
        <v>2</v>
      </c>
      <c r="C291" s="30">
        <v>130</v>
      </c>
      <c r="D291" s="30">
        <v>2221892</v>
      </c>
      <c r="E291" s="30">
        <f>16622/3</f>
        <v>5540.666666666667</v>
      </c>
      <c r="F291" s="30"/>
      <c r="G291" s="30" t="s">
        <v>19</v>
      </c>
      <c r="H291" s="30">
        <v>45</v>
      </c>
      <c r="I291" s="30">
        <v>3136</v>
      </c>
      <c r="J291" s="30">
        <v>34479992</v>
      </c>
      <c r="K291" s="30">
        <f>11066/3</f>
        <v>3688.6666666666665</v>
      </c>
    </row>
    <row r="292" spans="1:11" x14ac:dyDescent="0.2">
      <c r="A292" s="30" t="s">
        <v>20</v>
      </c>
      <c r="B292" s="30">
        <v>4</v>
      </c>
      <c r="C292" s="30">
        <v>688</v>
      </c>
      <c r="D292" s="30">
        <v>13262441</v>
      </c>
      <c r="E292" s="30">
        <f>19119/3</f>
        <v>6373</v>
      </c>
      <c r="F292" s="30"/>
      <c r="G292" s="30" t="s">
        <v>20</v>
      </c>
      <c r="H292" s="30">
        <v>22</v>
      </c>
      <c r="I292" s="30">
        <v>3644</v>
      </c>
      <c r="J292" s="30">
        <v>36713049</v>
      </c>
      <c r="K292" s="30">
        <f>10149/3</f>
        <v>3383</v>
      </c>
    </row>
    <row r="293" spans="1:11" x14ac:dyDescent="0.2">
      <c r="A293" s="30" t="s">
        <v>21</v>
      </c>
      <c r="B293" s="30">
        <v>2</v>
      </c>
      <c r="C293" s="30">
        <v>836</v>
      </c>
      <c r="D293" s="30">
        <v>16607682</v>
      </c>
      <c r="E293" s="30">
        <f>19724/3</f>
        <v>6574.666666666667</v>
      </c>
      <c r="F293" s="30"/>
      <c r="G293" s="30" t="s">
        <v>21</v>
      </c>
      <c r="H293" s="30">
        <v>21</v>
      </c>
      <c r="I293" s="30">
        <v>7799</v>
      </c>
      <c r="J293" s="30">
        <v>75925770</v>
      </c>
      <c r="K293" s="30">
        <f>9836/3</f>
        <v>3278.6666666666665</v>
      </c>
    </row>
    <row r="294" spans="1:11" x14ac:dyDescent="0.2">
      <c r="A294" s="30" t="s">
        <v>23</v>
      </c>
      <c r="B294" s="30">
        <v>1</v>
      </c>
      <c r="C294" s="30">
        <v>551</v>
      </c>
      <c r="D294" s="30">
        <v>8919081</v>
      </c>
      <c r="E294" s="30">
        <f>15965/3</f>
        <v>5321.666666666667</v>
      </c>
      <c r="F294" s="30"/>
      <c r="G294" s="30" t="s">
        <v>23</v>
      </c>
      <c r="H294" s="30">
        <v>12</v>
      </c>
      <c r="I294" s="30">
        <v>8128</v>
      </c>
      <c r="J294" s="30">
        <v>76793048</v>
      </c>
      <c r="K294" s="30">
        <f>9581/3</f>
        <v>3193.6666666666665</v>
      </c>
    </row>
    <row r="295" spans="1:11" x14ac:dyDescent="0.2">
      <c r="A295" s="30" t="s">
        <v>24</v>
      </c>
      <c r="B295" s="30">
        <v>1</v>
      </c>
      <c r="C295" s="30">
        <v>12281</v>
      </c>
      <c r="D295" s="30">
        <v>215592158</v>
      </c>
      <c r="E295" s="30">
        <f>17561/3</f>
        <v>5853.666666666667</v>
      </c>
      <c r="F295" s="30"/>
      <c r="G295" s="30" t="s">
        <v>24</v>
      </c>
      <c r="H295" s="30">
        <v>15</v>
      </c>
      <c r="I295" s="30">
        <v>53977</v>
      </c>
      <c r="J295" s="30">
        <v>602740774</v>
      </c>
      <c r="K295" s="30">
        <f>11299/3</f>
        <v>3766.3333333333335</v>
      </c>
    </row>
    <row r="296" spans="1:11" x14ac:dyDescent="0.2">
      <c r="A296" s="26"/>
      <c r="B296" s="36"/>
      <c r="C296" s="36"/>
      <c r="D296" s="36"/>
      <c r="E296" s="36"/>
      <c r="F296" s="26"/>
      <c r="G296" s="26"/>
      <c r="H296" s="26"/>
      <c r="I296" s="26"/>
      <c r="J296" s="26"/>
      <c r="K296" s="26"/>
    </row>
    <row r="297" spans="1:11" x14ac:dyDescent="0.2">
      <c r="A297" s="48" t="s">
        <v>62</v>
      </c>
      <c r="B297" s="49"/>
      <c r="C297" s="49"/>
      <c r="D297" s="49"/>
      <c r="E297" s="49"/>
      <c r="F297" s="49"/>
      <c r="G297" s="49"/>
      <c r="H297" s="49"/>
      <c r="I297" s="49"/>
    </row>
    <row r="302" spans="1:11" x14ac:dyDescent="0.2">
      <c r="D302" s="48"/>
      <c r="E302" s="49"/>
      <c r="F302" s="49"/>
      <c r="G302" s="49"/>
      <c r="H302" s="49"/>
    </row>
    <row r="303" spans="1:11" ht="14.25" x14ac:dyDescent="0.2">
      <c r="A303" s="50" t="s">
        <v>75</v>
      </c>
      <c r="B303" s="51"/>
      <c r="C303" s="51"/>
      <c r="D303" s="51"/>
      <c r="E303" s="51"/>
      <c r="F303" s="51"/>
      <c r="G303" s="51"/>
      <c r="H303" s="51"/>
      <c r="I303" s="51"/>
      <c r="J303" s="51"/>
      <c r="K303" s="51"/>
    </row>
    <row r="304" spans="1:11" x14ac:dyDescent="0.2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</row>
    <row r="305" spans="1:11" x14ac:dyDescent="0.2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</row>
    <row r="306" spans="1:11" x14ac:dyDescent="0.2">
      <c r="A306" s="43" t="s">
        <v>49</v>
      </c>
      <c r="B306" s="43"/>
      <c r="C306" s="43"/>
      <c r="D306" s="43"/>
      <c r="E306" s="43"/>
      <c r="F306" s="13"/>
      <c r="G306" s="43" t="s">
        <v>50</v>
      </c>
      <c r="H306" s="43"/>
      <c r="I306" s="43"/>
      <c r="J306" s="43"/>
      <c r="K306" s="43"/>
    </row>
    <row r="307" spans="1:11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</row>
    <row r="308" spans="1:11" x14ac:dyDescent="0.2">
      <c r="A308" s="15"/>
      <c r="B308" s="15"/>
      <c r="C308" s="15"/>
      <c r="D308" s="15" t="s">
        <v>2</v>
      </c>
      <c r="E308" s="15" t="s">
        <v>3</v>
      </c>
      <c r="F308" s="13"/>
      <c r="G308" s="15"/>
      <c r="H308" s="15"/>
      <c r="I308" s="15"/>
      <c r="J308" s="15" t="s">
        <v>2</v>
      </c>
      <c r="K308" s="15" t="s">
        <v>3</v>
      </c>
    </row>
    <row r="309" spans="1:11" x14ac:dyDescent="0.2">
      <c r="A309" s="16" t="s">
        <v>4</v>
      </c>
      <c r="B309" s="15" t="s">
        <v>5</v>
      </c>
      <c r="C309" s="15" t="s">
        <v>6</v>
      </c>
      <c r="D309" s="15" t="s">
        <v>7</v>
      </c>
      <c r="E309" s="15" t="s">
        <v>8</v>
      </c>
      <c r="F309" s="13"/>
      <c r="G309" s="16" t="s">
        <v>4</v>
      </c>
      <c r="H309" s="15" t="s">
        <v>5</v>
      </c>
      <c r="I309" s="15" t="s">
        <v>6</v>
      </c>
      <c r="J309" s="15" t="s">
        <v>7</v>
      </c>
      <c r="K309" s="15" t="s">
        <v>8</v>
      </c>
    </row>
    <row r="310" spans="1:11" x14ac:dyDescent="0.2">
      <c r="A310" s="16" t="s">
        <v>9</v>
      </c>
      <c r="B310" s="15" t="s">
        <v>10</v>
      </c>
      <c r="C310" s="15" t="s">
        <v>11</v>
      </c>
      <c r="D310" s="15" t="s">
        <v>12</v>
      </c>
      <c r="E310" s="15" t="s">
        <v>13</v>
      </c>
      <c r="F310" s="13"/>
      <c r="G310" s="16" t="s">
        <v>9</v>
      </c>
      <c r="H310" s="15" t="s">
        <v>10</v>
      </c>
      <c r="I310" s="15" t="s">
        <v>11</v>
      </c>
      <c r="J310" s="15" t="s">
        <v>12</v>
      </c>
      <c r="K310" s="15" t="s">
        <v>13</v>
      </c>
    </row>
    <row r="312" spans="1:11" x14ac:dyDescent="0.2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</row>
    <row r="313" spans="1:11" s="14" customFormat="1" x14ac:dyDescent="0.2">
      <c r="A313" s="27" t="s">
        <v>27</v>
      </c>
      <c r="B313" s="27">
        <f>SUM(B315:B324)</f>
        <v>53</v>
      </c>
      <c r="C313" s="27">
        <f>SUM(C315:C324)</f>
        <v>49795</v>
      </c>
      <c r="D313" s="28">
        <f>SUM(D315:D324)</f>
        <v>493267843</v>
      </c>
      <c r="E313" s="28">
        <f>10063/3</f>
        <v>3354.3333333333335</v>
      </c>
      <c r="F313" s="27"/>
      <c r="G313" s="27" t="s">
        <v>27</v>
      </c>
      <c r="H313" s="27">
        <f>SUM(H315:H325)</f>
        <v>2667</v>
      </c>
      <c r="I313" s="27">
        <f>SUM(I315:I325)</f>
        <v>128489</v>
      </c>
      <c r="J313" s="28">
        <f>SUM(J315:J324)</f>
        <v>1094499329</v>
      </c>
      <c r="K313" s="28">
        <f>8558/3</f>
        <v>2852.6666666666665</v>
      </c>
    </row>
    <row r="314" spans="1:11" x14ac:dyDescent="0.2">
      <c r="A314" s="30" t="s">
        <v>28</v>
      </c>
      <c r="B314" s="30"/>
      <c r="C314" s="30"/>
      <c r="D314" s="30"/>
      <c r="E314" s="30"/>
      <c r="F314" s="30"/>
      <c r="G314" s="30" t="s">
        <v>28</v>
      </c>
      <c r="H314" s="30"/>
      <c r="I314" s="30"/>
      <c r="J314" s="30"/>
      <c r="K314" s="30"/>
    </row>
    <row r="315" spans="1:11" x14ac:dyDescent="0.2">
      <c r="A315" s="35">
        <v>0</v>
      </c>
      <c r="B315" s="30">
        <v>4</v>
      </c>
      <c r="C315" s="30">
        <v>0</v>
      </c>
      <c r="D315" s="32">
        <v>210</v>
      </c>
      <c r="E315" s="30">
        <f>630/3</f>
        <v>210</v>
      </c>
      <c r="F315" s="30"/>
      <c r="G315" s="30" t="s">
        <v>15</v>
      </c>
      <c r="H315" s="30">
        <v>43</v>
      </c>
      <c r="I315" s="30">
        <v>0</v>
      </c>
      <c r="J315" s="30">
        <v>17296</v>
      </c>
      <c r="K315" s="30">
        <f>3052/3</f>
        <v>1017.3333333333334</v>
      </c>
    </row>
    <row r="316" spans="1:11" x14ac:dyDescent="0.2">
      <c r="A316" s="31" t="s">
        <v>16</v>
      </c>
      <c r="B316" s="30">
        <v>4</v>
      </c>
      <c r="C316" s="30">
        <v>4</v>
      </c>
      <c r="D316" s="30">
        <v>59664</v>
      </c>
      <c r="E316" s="30">
        <f>14916/3</f>
        <v>4972</v>
      </c>
      <c r="F316" s="30"/>
      <c r="G316" s="30" t="s">
        <v>16</v>
      </c>
      <c r="H316" s="30">
        <v>397</v>
      </c>
      <c r="I316" s="30">
        <v>972</v>
      </c>
      <c r="J316" s="30">
        <v>8246577</v>
      </c>
      <c r="K316" s="30">
        <f>8384/3</f>
        <v>2794.6666666666665</v>
      </c>
    </row>
    <row r="317" spans="1:11" x14ac:dyDescent="0.2">
      <c r="A317" s="30" t="s">
        <v>17</v>
      </c>
      <c r="B317" s="30">
        <v>4</v>
      </c>
      <c r="C317" s="30">
        <v>30</v>
      </c>
      <c r="D317" s="30">
        <v>160200</v>
      </c>
      <c r="E317" s="37">
        <f>5461/3</f>
        <v>1820.3333333333333</v>
      </c>
      <c r="F317" s="30"/>
      <c r="G317" s="30" t="s">
        <v>17</v>
      </c>
      <c r="H317" s="30">
        <v>456</v>
      </c>
      <c r="I317" s="30">
        <v>2998</v>
      </c>
      <c r="J317" s="30">
        <v>21972625</v>
      </c>
      <c r="K317" s="30">
        <f>7322/3</f>
        <v>2440.6666666666665</v>
      </c>
    </row>
    <row r="318" spans="1:11" x14ac:dyDescent="0.2">
      <c r="A318" s="31" t="s">
        <v>56</v>
      </c>
      <c r="B318" s="30">
        <v>5</v>
      </c>
      <c r="C318" s="30">
        <v>60</v>
      </c>
      <c r="D318" s="30">
        <v>777882</v>
      </c>
      <c r="E318" s="30">
        <f>13184/3</f>
        <v>4394.666666666667</v>
      </c>
      <c r="F318" s="30"/>
      <c r="G318" s="31" t="s">
        <v>56</v>
      </c>
      <c r="H318" s="30">
        <v>361</v>
      </c>
      <c r="I318" s="30">
        <v>4993</v>
      </c>
      <c r="J318" s="30">
        <v>46484738</v>
      </c>
      <c r="K318" s="30">
        <f>9417/3</f>
        <v>3139</v>
      </c>
    </row>
    <row r="319" spans="1:11" x14ac:dyDescent="0.2">
      <c r="A319" s="30" t="s">
        <v>18</v>
      </c>
      <c r="B319" s="30">
        <v>2</v>
      </c>
      <c r="C319" s="30">
        <v>71</v>
      </c>
      <c r="D319" s="30">
        <v>464723</v>
      </c>
      <c r="E319" s="30">
        <f>6735/3</f>
        <v>2245</v>
      </c>
      <c r="F319" s="30"/>
      <c r="G319" s="30" t="s">
        <v>18</v>
      </c>
      <c r="H319" s="30">
        <v>502</v>
      </c>
      <c r="I319" s="30">
        <v>16799</v>
      </c>
      <c r="J319" s="30">
        <v>149481549</v>
      </c>
      <c r="K319" s="30">
        <f>8954/3</f>
        <v>2984.6666666666665</v>
      </c>
    </row>
    <row r="320" spans="1:11" x14ac:dyDescent="0.2">
      <c r="A320" s="30" t="s">
        <v>19</v>
      </c>
      <c r="B320" s="30">
        <v>8</v>
      </c>
      <c r="C320" s="30">
        <v>589</v>
      </c>
      <c r="D320" s="30">
        <v>3280586</v>
      </c>
      <c r="E320" s="30">
        <f>5699/3</f>
        <v>1899.6666666666667</v>
      </c>
      <c r="F320" s="30"/>
      <c r="G320" s="30" t="s">
        <v>19</v>
      </c>
      <c r="H320" s="30">
        <v>638</v>
      </c>
      <c r="I320" s="30">
        <v>44047</v>
      </c>
      <c r="J320" s="30">
        <v>370247738</v>
      </c>
      <c r="K320" s="30">
        <f>8426/3</f>
        <v>2808.6666666666665</v>
      </c>
    </row>
    <row r="321" spans="1:11" x14ac:dyDescent="0.2">
      <c r="A321" s="30" t="s">
        <v>20</v>
      </c>
      <c r="B321" s="30">
        <v>5</v>
      </c>
      <c r="C321" s="30">
        <v>829</v>
      </c>
      <c r="D321" s="30">
        <v>4341556</v>
      </c>
      <c r="E321" s="30">
        <f>5347/3</f>
        <v>1782.3333333333333</v>
      </c>
      <c r="F321" s="30"/>
      <c r="G321" s="30" t="s">
        <v>20</v>
      </c>
      <c r="H321" s="30">
        <v>221</v>
      </c>
      <c r="I321" s="30">
        <v>31960</v>
      </c>
      <c r="J321" s="30">
        <v>272441791</v>
      </c>
      <c r="K321" s="30">
        <f>8536/3</f>
        <v>2845.3333333333335</v>
      </c>
    </row>
    <row r="322" spans="1:11" x14ac:dyDescent="0.2">
      <c r="A322" s="30" t="s">
        <v>21</v>
      </c>
      <c r="B322" s="30">
        <v>5</v>
      </c>
      <c r="C322" s="30">
        <v>1702</v>
      </c>
      <c r="D322" s="30">
        <v>9495594</v>
      </c>
      <c r="E322" s="30">
        <f>5729/3</f>
        <v>1909.6666666666667</v>
      </c>
      <c r="F322" s="30"/>
      <c r="G322" s="30" t="s">
        <v>21</v>
      </c>
      <c r="H322" s="30">
        <v>35</v>
      </c>
      <c r="I322" s="30">
        <v>11545</v>
      </c>
      <c r="J322" s="30">
        <v>96339376</v>
      </c>
      <c r="K322" s="30">
        <f>8440/3</f>
        <v>2813.3333333333335</v>
      </c>
    </row>
    <row r="323" spans="1:11" x14ac:dyDescent="0.2">
      <c r="A323" s="30" t="s">
        <v>23</v>
      </c>
      <c r="B323" s="30">
        <v>4</v>
      </c>
      <c r="C323" s="30">
        <v>2325</v>
      </c>
      <c r="D323" s="30">
        <v>9494416</v>
      </c>
      <c r="E323" s="30">
        <f>4221/3</f>
        <v>1407</v>
      </c>
      <c r="F323" s="30"/>
      <c r="G323" s="30" t="s">
        <v>23</v>
      </c>
      <c r="H323" s="30">
        <v>12</v>
      </c>
      <c r="I323" s="30">
        <v>8185</v>
      </c>
      <c r="J323" s="30">
        <v>76177331</v>
      </c>
      <c r="K323" s="30">
        <f>9387/3</f>
        <v>3129</v>
      </c>
    </row>
    <row r="324" spans="1:11" x14ac:dyDescent="0.2">
      <c r="A324" s="30" t="s">
        <v>24</v>
      </c>
      <c r="B324" s="30">
        <v>12</v>
      </c>
      <c r="C324" s="30">
        <v>44185</v>
      </c>
      <c r="D324" s="30">
        <v>465193012</v>
      </c>
      <c r="E324" s="30">
        <f>10679/3</f>
        <v>3559.6666666666665</v>
      </c>
      <c r="F324" s="30"/>
      <c r="G324" s="30" t="s">
        <v>24</v>
      </c>
      <c r="H324" s="30">
        <v>2</v>
      </c>
      <c r="I324" s="30">
        <v>6990</v>
      </c>
      <c r="J324" s="30">
        <v>53090308</v>
      </c>
      <c r="K324" s="30">
        <f>7717/3</f>
        <v>2572.3333333333335</v>
      </c>
    </row>
    <row r="325" spans="1:11" x14ac:dyDescent="0.2">
      <c r="A325" s="26"/>
      <c r="B325" s="26"/>
      <c r="C325" s="26"/>
      <c r="D325" s="26"/>
      <c r="E325" s="26" t="s">
        <v>28</v>
      </c>
      <c r="F325" s="26"/>
      <c r="G325" s="26"/>
      <c r="H325" s="26"/>
      <c r="I325" s="26"/>
      <c r="J325" s="26"/>
      <c r="K325" s="26"/>
    </row>
    <row r="328" spans="1:11" x14ac:dyDescent="0.2">
      <c r="A328" s="43" t="s">
        <v>51</v>
      </c>
      <c r="B328" s="43"/>
      <c r="C328" s="43"/>
      <c r="D328" s="43"/>
      <c r="E328" s="43"/>
      <c r="F328" s="13"/>
      <c r="G328" s="43" t="s">
        <v>52</v>
      </c>
      <c r="H328" s="43"/>
      <c r="I328" s="43"/>
      <c r="J328" s="43"/>
      <c r="K328" s="43"/>
    </row>
    <row r="329" spans="1:11" x14ac:dyDescent="0.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</row>
    <row r="330" spans="1:11" x14ac:dyDescent="0.2">
      <c r="A330" s="15"/>
      <c r="B330" s="15"/>
      <c r="C330" s="15"/>
      <c r="D330" s="15" t="s">
        <v>2</v>
      </c>
      <c r="E330" s="15" t="s">
        <v>3</v>
      </c>
      <c r="F330" s="13"/>
      <c r="G330" s="15"/>
      <c r="H330" s="15"/>
      <c r="I330" s="15"/>
      <c r="J330" s="15" t="s">
        <v>2</v>
      </c>
      <c r="K330" s="15" t="s">
        <v>3</v>
      </c>
    </row>
    <row r="331" spans="1:11" x14ac:dyDescent="0.2">
      <c r="A331" s="16" t="s">
        <v>4</v>
      </c>
      <c r="B331" s="15" t="s">
        <v>5</v>
      </c>
      <c r="C331" s="15" t="s">
        <v>6</v>
      </c>
      <c r="D331" s="15" t="s">
        <v>7</v>
      </c>
      <c r="E331" s="15" t="s">
        <v>8</v>
      </c>
      <c r="F331" s="13"/>
      <c r="G331" s="16" t="s">
        <v>4</v>
      </c>
      <c r="H331" s="15" t="s">
        <v>5</v>
      </c>
      <c r="I331" s="15" t="s">
        <v>6</v>
      </c>
      <c r="J331" s="15" t="s">
        <v>7</v>
      </c>
      <c r="K331" s="15" t="s">
        <v>8</v>
      </c>
    </row>
    <row r="332" spans="1:11" x14ac:dyDescent="0.2">
      <c r="A332" s="16" t="s">
        <v>9</v>
      </c>
      <c r="B332" s="15" t="s">
        <v>10</v>
      </c>
      <c r="C332" s="15" t="s">
        <v>11</v>
      </c>
      <c r="D332" s="15" t="s">
        <v>12</v>
      </c>
      <c r="E332" s="15" t="s">
        <v>13</v>
      </c>
      <c r="F332" s="13"/>
      <c r="G332" s="16" t="s">
        <v>9</v>
      </c>
      <c r="H332" s="15" t="s">
        <v>10</v>
      </c>
      <c r="I332" s="15" t="s">
        <v>11</v>
      </c>
      <c r="J332" s="15" t="s">
        <v>12</v>
      </c>
      <c r="K332" s="15" t="s">
        <v>13</v>
      </c>
    </row>
    <row r="334" spans="1:11" x14ac:dyDescent="0.2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</row>
    <row r="335" spans="1:11" s="14" customFormat="1" x14ac:dyDescent="0.2">
      <c r="A335" s="27" t="s">
        <v>27</v>
      </c>
      <c r="B335" s="27">
        <f>SUM(B337:B346)</f>
        <v>1027</v>
      </c>
      <c r="C335" s="27">
        <f>SUM(C337:C346)</f>
        <v>74383</v>
      </c>
      <c r="D335" s="28">
        <f>SUM(D337:D346)</f>
        <v>588217843</v>
      </c>
      <c r="E335" s="28">
        <f>7961/3</f>
        <v>2653.6666666666665</v>
      </c>
      <c r="F335" s="27"/>
      <c r="G335" s="27" t="s">
        <v>27</v>
      </c>
      <c r="H335" s="27">
        <f>SUM(H337:H346)</f>
        <v>91893</v>
      </c>
      <c r="I335" s="27">
        <f>SUM(I337:I346)</f>
        <v>1206781</v>
      </c>
      <c r="J335" s="28">
        <f>SUM(J337:J346)</f>
        <v>14017090849</v>
      </c>
      <c r="K335" s="28">
        <f>11707/3</f>
        <v>3902.3333333333335</v>
      </c>
    </row>
    <row r="336" spans="1:11" x14ac:dyDescent="0.2">
      <c r="A336" s="30" t="s">
        <v>28</v>
      </c>
      <c r="B336" s="30"/>
      <c r="C336" s="30"/>
      <c r="D336" s="30"/>
      <c r="E336" s="30"/>
      <c r="F336" s="30"/>
      <c r="G336" s="30" t="s">
        <v>28</v>
      </c>
      <c r="H336" s="30"/>
      <c r="I336" s="30"/>
      <c r="J336" s="30"/>
      <c r="K336" s="30"/>
    </row>
    <row r="337" spans="1:11" x14ac:dyDescent="0.2">
      <c r="A337" s="35">
        <v>0</v>
      </c>
      <c r="B337" s="30">
        <v>6</v>
      </c>
      <c r="C337" s="30">
        <v>0</v>
      </c>
      <c r="D337" s="30">
        <v>0</v>
      </c>
      <c r="E337" s="30">
        <v>0</v>
      </c>
      <c r="F337" s="30"/>
      <c r="G337" s="30" t="s">
        <v>15</v>
      </c>
      <c r="H337" s="30">
        <v>11862</v>
      </c>
      <c r="I337" s="30">
        <v>0</v>
      </c>
      <c r="J337" s="30">
        <v>61887573</v>
      </c>
      <c r="K337" s="30">
        <f>13469/3</f>
        <v>4489.666666666667</v>
      </c>
    </row>
    <row r="338" spans="1:11" x14ac:dyDescent="0.2">
      <c r="A338" s="31" t="s">
        <v>16</v>
      </c>
      <c r="B338" s="30">
        <v>22</v>
      </c>
      <c r="C338" s="30">
        <v>55</v>
      </c>
      <c r="D338" s="30">
        <v>435879</v>
      </c>
      <c r="E338" s="30">
        <f>8072/3</f>
        <v>2690.6666666666665</v>
      </c>
      <c r="F338" s="30"/>
      <c r="G338" s="30" t="s">
        <v>16</v>
      </c>
      <c r="H338" s="30">
        <v>43778</v>
      </c>
      <c r="I338" s="30">
        <v>80120</v>
      </c>
      <c r="J338" s="30">
        <v>1004481555</v>
      </c>
      <c r="K338" s="30">
        <f>12723/3</f>
        <v>4241</v>
      </c>
    </row>
    <row r="339" spans="1:11" x14ac:dyDescent="0.2">
      <c r="A339" s="30" t="s">
        <v>17</v>
      </c>
      <c r="B339" s="30">
        <v>53</v>
      </c>
      <c r="C339" s="30">
        <v>330</v>
      </c>
      <c r="D339" s="30">
        <v>1637537</v>
      </c>
      <c r="E339" s="30">
        <f>4922/3</f>
        <v>1640.6666666666667</v>
      </c>
      <c r="F339" s="30"/>
      <c r="G339" s="30" t="s">
        <v>17</v>
      </c>
      <c r="H339" s="30">
        <v>14043</v>
      </c>
      <c r="I339" s="30">
        <v>93290</v>
      </c>
      <c r="J339" s="30">
        <v>887972210</v>
      </c>
      <c r="K339" s="30">
        <f>9707/3</f>
        <v>3235.6666666666665</v>
      </c>
    </row>
    <row r="340" spans="1:11" x14ac:dyDescent="0.2">
      <c r="A340" s="31" t="s">
        <v>56</v>
      </c>
      <c r="B340" s="30">
        <v>56</v>
      </c>
      <c r="C340" s="30">
        <v>811</v>
      </c>
      <c r="D340" s="30">
        <v>7018880</v>
      </c>
      <c r="E340" s="30">
        <f>8690/3</f>
        <v>2896.6666666666665</v>
      </c>
      <c r="F340" s="30"/>
      <c r="G340" s="31" t="s">
        <v>56</v>
      </c>
      <c r="H340" s="30">
        <v>10685</v>
      </c>
      <c r="I340" s="30">
        <v>145338</v>
      </c>
      <c r="J340" s="30">
        <v>1338046353</v>
      </c>
      <c r="K340" s="30">
        <f>9376/3</f>
        <v>3125.3333333333335</v>
      </c>
    </row>
    <row r="341" spans="1:11" x14ac:dyDescent="0.2">
      <c r="A341" s="30" t="s">
        <v>18</v>
      </c>
      <c r="B341" s="30">
        <v>196</v>
      </c>
      <c r="C341" s="30">
        <v>7266</v>
      </c>
      <c r="D341" s="30">
        <v>59082300</v>
      </c>
      <c r="E341" s="30">
        <f>8163/3</f>
        <v>2721</v>
      </c>
      <c r="F341" s="30"/>
      <c r="G341" s="30" t="s">
        <v>18</v>
      </c>
      <c r="H341" s="30">
        <v>7506</v>
      </c>
      <c r="I341" s="30">
        <v>226059</v>
      </c>
      <c r="J341" s="30">
        <v>2260424793</v>
      </c>
      <c r="K341" s="30">
        <f>10171/3</f>
        <v>3390.3333333333335</v>
      </c>
    </row>
    <row r="342" spans="1:11" x14ac:dyDescent="0.2">
      <c r="A342" s="30" t="s">
        <v>19</v>
      </c>
      <c r="B342" s="30">
        <v>525</v>
      </c>
      <c r="C342" s="30">
        <v>36103</v>
      </c>
      <c r="D342" s="30">
        <v>291108359</v>
      </c>
      <c r="E342" s="30">
        <f>8092/3</f>
        <v>2697.3333333333335</v>
      </c>
      <c r="F342" s="30"/>
      <c r="G342" s="30" t="s">
        <v>19</v>
      </c>
      <c r="H342" s="30">
        <v>2273</v>
      </c>
      <c r="I342" s="30">
        <v>155904</v>
      </c>
      <c r="J342" s="30">
        <v>1692906330</v>
      </c>
      <c r="K342" s="30">
        <f>10971/3</f>
        <v>3657</v>
      </c>
    </row>
    <row r="343" spans="1:11" x14ac:dyDescent="0.2">
      <c r="A343" s="30" t="s">
        <v>20</v>
      </c>
      <c r="B343" s="30">
        <v>151</v>
      </c>
      <c r="C343" s="30">
        <v>21159</v>
      </c>
      <c r="D343" s="30">
        <v>179295706</v>
      </c>
      <c r="E343" s="30">
        <f>8481/3</f>
        <v>2827</v>
      </c>
      <c r="F343" s="30"/>
      <c r="G343" s="30" t="s">
        <v>20</v>
      </c>
      <c r="H343" s="30">
        <v>1239</v>
      </c>
      <c r="I343" s="30">
        <v>184457</v>
      </c>
      <c r="J343" s="30">
        <v>2250371266</v>
      </c>
      <c r="K343" s="30">
        <f>12379/3</f>
        <v>4126.333333333333</v>
      </c>
    </row>
    <row r="344" spans="1:11" x14ac:dyDescent="0.2">
      <c r="A344" s="30" t="s">
        <v>21</v>
      </c>
      <c r="B344" s="30">
        <v>12</v>
      </c>
      <c r="C344" s="30">
        <v>3964</v>
      </c>
      <c r="D344" s="30">
        <v>23388740</v>
      </c>
      <c r="E344" s="30">
        <f>6085/3</f>
        <v>2028.3333333333333</v>
      </c>
      <c r="F344" s="30"/>
      <c r="G344" s="30" t="s">
        <v>21</v>
      </c>
      <c r="H344" s="30">
        <v>312</v>
      </c>
      <c r="I344" s="30">
        <v>106665</v>
      </c>
      <c r="J344" s="30">
        <v>1503420921</v>
      </c>
      <c r="K344" s="30">
        <f>14122/3</f>
        <v>4707.333333333333</v>
      </c>
    </row>
    <row r="345" spans="1:11" x14ac:dyDescent="0.2">
      <c r="A345" s="30" t="s">
        <v>31</v>
      </c>
      <c r="B345" s="30">
        <f>5+1</f>
        <v>6</v>
      </c>
      <c r="C345" s="30">
        <f>3650+1045</f>
        <v>4695</v>
      </c>
      <c r="D345" s="30">
        <f>20554110+5696332</f>
        <v>26250442</v>
      </c>
      <c r="E345" s="30">
        <f>(20554110+5696332)/(3442+662+3686+1011+3650+1045)</f>
        <v>1945.053497332543</v>
      </c>
      <c r="F345" s="30"/>
      <c r="G345" s="30" t="s">
        <v>23</v>
      </c>
      <c r="H345" s="30">
        <v>136</v>
      </c>
      <c r="I345" s="30">
        <v>90564</v>
      </c>
      <c r="J345" s="30">
        <v>1309279550</v>
      </c>
      <c r="K345" s="30">
        <f>14502/3</f>
        <v>4834</v>
      </c>
    </row>
    <row r="346" spans="1:11" x14ac:dyDescent="0.2">
      <c r="A346" s="30"/>
      <c r="B346" s="30"/>
      <c r="C346" s="30"/>
      <c r="D346" s="30"/>
      <c r="E346" s="30"/>
      <c r="F346" s="30"/>
      <c r="G346" s="30" t="s">
        <v>24</v>
      </c>
      <c r="H346" s="30">
        <v>59</v>
      </c>
      <c r="I346" s="30">
        <v>124384</v>
      </c>
      <c r="J346" s="30">
        <v>1708300298</v>
      </c>
      <c r="K346" s="30">
        <f>13722/3</f>
        <v>4574</v>
      </c>
    </row>
    <row r="347" spans="1:11" x14ac:dyDescent="0.2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 t="s">
        <v>61</v>
      </c>
    </row>
    <row r="349" spans="1:11" x14ac:dyDescent="0.2">
      <c r="A349" s="48" t="s">
        <v>62</v>
      </c>
      <c r="B349" s="49"/>
      <c r="C349" s="49"/>
      <c r="D349" s="49"/>
      <c r="E349" s="49"/>
      <c r="F349" s="49"/>
      <c r="G349" s="49"/>
      <c r="H349" s="49"/>
      <c r="I349" s="49"/>
    </row>
    <row r="385" spans="11:11" x14ac:dyDescent="0.2">
      <c r="K385" s="1"/>
    </row>
    <row r="461" spans="5:5" x14ac:dyDescent="0.2">
      <c r="E461" s="1"/>
    </row>
    <row r="482" spans="5:5" x14ac:dyDescent="0.2">
      <c r="E482" s="1"/>
    </row>
    <row r="581" spans="11:11" x14ac:dyDescent="0.2">
      <c r="K581" s="2"/>
    </row>
    <row r="657" spans="11:11" x14ac:dyDescent="0.2">
      <c r="K657" s="1"/>
    </row>
    <row r="709" spans="5:5" x14ac:dyDescent="0.2">
      <c r="E709" s="1"/>
    </row>
    <row r="731" spans="5:11" x14ac:dyDescent="0.2">
      <c r="E731" s="1"/>
      <c r="K731" s="1"/>
    </row>
    <row r="760" spans="5:5" x14ac:dyDescent="0.2">
      <c r="E760" s="1"/>
    </row>
    <row r="782" spans="5:11" x14ac:dyDescent="0.2">
      <c r="E782" s="1"/>
      <c r="K782" s="1"/>
    </row>
  </sheetData>
  <mergeCells count="61">
    <mergeCell ref="A349:I349"/>
    <mergeCell ref="D103:H103"/>
    <mergeCell ref="D153:H153"/>
    <mergeCell ref="D202:H202"/>
    <mergeCell ref="D251:H251"/>
    <mergeCell ref="A107:E107"/>
    <mergeCell ref="A148:I148"/>
    <mergeCell ref="A198:I198"/>
    <mergeCell ref="A247:I247"/>
    <mergeCell ref="A297:I297"/>
    <mergeCell ref="A157:E157"/>
    <mergeCell ref="G157:K157"/>
    <mergeCell ref="G178:K178"/>
    <mergeCell ref="A206:E206"/>
    <mergeCell ref="G206:K206"/>
    <mergeCell ref="A306:E306"/>
    <mergeCell ref="A29:E29"/>
    <mergeCell ref="G29:K29"/>
    <mergeCell ref="A59:E59"/>
    <mergeCell ref="G59:K59"/>
    <mergeCell ref="D54:H54"/>
    <mergeCell ref="A50:I50"/>
    <mergeCell ref="A56:K56"/>
    <mergeCell ref="A254:K254"/>
    <mergeCell ref="A204:K204"/>
    <mergeCell ref="A205:K205"/>
    <mergeCell ref="A104:K104"/>
    <mergeCell ref="A154:K154"/>
    <mergeCell ref="A203:K203"/>
    <mergeCell ref="A7:E7"/>
    <mergeCell ref="A101:I101"/>
    <mergeCell ref="A100:I100"/>
    <mergeCell ref="A328:E328"/>
    <mergeCell ref="G328:K328"/>
    <mergeCell ref="A227:E227"/>
    <mergeCell ref="G227:K227"/>
    <mergeCell ref="A255:E255"/>
    <mergeCell ref="G255:K255"/>
    <mergeCell ref="A277:E277"/>
    <mergeCell ref="G277:K277"/>
    <mergeCell ref="D302:H302"/>
    <mergeCell ref="A305:K305"/>
    <mergeCell ref="A252:K252"/>
    <mergeCell ref="A303:K303"/>
    <mergeCell ref="A253:K253"/>
    <mergeCell ref="G7:K7"/>
    <mergeCell ref="A304:K304"/>
    <mergeCell ref="G306:K306"/>
    <mergeCell ref="A4:K4"/>
    <mergeCell ref="A5:K5"/>
    <mergeCell ref="A178:E178"/>
    <mergeCell ref="A57:K57"/>
    <mergeCell ref="A105:K105"/>
    <mergeCell ref="A106:K106"/>
    <mergeCell ref="A155:K155"/>
    <mergeCell ref="A156:K156"/>
    <mergeCell ref="A80:E80"/>
    <mergeCell ref="G80:K80"/>
    <mergeCell ref="G107:K107"/>
    <mergeCell ref="A128:E128"/>
    <mergeCell ref="G128:K128"/>
  </mergeCells>
  <phoneticPr fontId="0" type="noConversion"/>
  <pageMargins left="0.75" right="0.75" top="0.55000000000000004" bottom="0.49" header="0.5" footer="0.5"/>
  <pageSetup scale="80" fitToWidth="7" orientation="landscape" r:id="rId1"/>
  <headerFooter alignWithMargins="0"/>
  <rowBreaks count="6" manualBreakCount="6">
    <brk id="52" max="16383" man="1"/>
    <brk id="100" max="16383" man="1"/>
    <brk id="149" max="16383" man="1"/>
    <brk id="198" max="16383" man="1"/>
    <brk id="247" max="16383" man="1"/>
    <brk id="29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F17" sqref="F17"/>
    </sheetView>
  </sheetViews>
  <sheetFormatPr defaultRowHeight="12.75" x14ac:dyDescent="0.2"/>
  <cols>
    <col min="2" max="2" width="10.7109375" style="39" customWidth="1"/>
    <col min="4" max="4" width="12.42578125" customWidth="1"/>
    <col min="7" max="7" width="10.7109375" style="41" customWidth="1"/>
    <col min="8" max="8" width="12.42578125" style="41" customWidth="1"/>
  </cols>
  <sheetData>
    <row r="1" spans="1:11" x14ac:dyDescent="0.2">
      <c r="A1" s="14">
        <v>95647</v>
      </c>
      <c r="B1" s="38"/>
      <c r="C1" s="14">
        <v>1453692</v>
      </c>
      <c r="G1" s="40"/>
    </row>
    <row r="3" spans="1:11" ht="15.75" x14ac:dyDescent="0.2">
      <c r="A3">
        <v>11924</v>
      </c>
      <c r="B3" s="39">
        <f>(A3/A1)</f>
        <v>0.12466674333748053</v>
      </c>
      <c r="C3">
        <v>0</v>
      </c>
      <c r="D3">
        <v>0</v>
      </c>
      <c r="F3" s="42" t="s">
        <v>63</v>
      </c>
      <c r="G3" s="41">
        <v>0.12466674333748053</v>
      </c>
      <c r="H3" s="41">
        <v>0</v>
      </c>
      <c r="K3" s="42" t="s">
        <v>63</v>
      </c>
    </row>
    <row r="4" spans="1:11" ht="15.75" x14ac:dyDescent="0.2">
      <c r="A4">
        <v>44540</v>
      </c>
      <c r="B4" s="39">
        <f>(A4/A1)</f>
        <v>0.46567064309387646</v>
      </c>
      <c r="C4">
        <v>81858</v>
      </c>
      <c r="D4" s="39">
        <f>(C4/C1)</f>
        <v>5.6310415136081093E-2</v>
      </c>
      <c r="F4" s="42" t="s">
        <v>64</v>
      </c>
      <c r="G4" s="41">
        <v>0.46567064309387646</v>
      </c>
      <c r="H4" s="41">
        <v>5.6310415136081093E-2</v>
      </c>
      <c r="K4" s="42" t="s">
        <v>64</v>
      </c>
    </row>
    <row r="5" spans="1:11" ht="15.75" x14ac:dyDescent="0.2">
      <c r="A5">
        <v>14667</v>
      </c>
      <c r="B5" s="39">
        <f>(A5/A1)</f>
        <v>0.15334511275837193</v>
      </c>
      <c r="C5">
        <v>97419</v>
      </c>
      <c r="D5" s="39">
        <f>(C5/C1)</f>
        <v>6.7014883482883578E-2</v>
      </c>
      <c r="F5" s="42" t="s">
        <v>65</v>
      </c>
      <c r="G5" s="41">
        <v>0.15334511275837193</v>
      </c>
      <c r="H5" s="41">
        <v>6.7014883482883578E-2</v>
      </c>
      <c r="K5" s="42" t="s">
        <v>65</v>
      </c>
    </row>
    <row r="6" spans="1:11" ht="15.75" x14ac:dyDescent="0.2">
      <c r="A6">
        <v>11209</v>
      </c>
      <c r="B6" s="39">
        <f>(A6/A1)</f>
        <v>0.11719133898606333</v>
      </c>
      <c r="C6">
        <v>152619</v>
      </c>
      <c r="D6" s="39">
        <f>(C6/C1)</f>
        <v>0.10498716371831172</v>
      </c>
      <c r="F6" s="42" t="s">
        <v>66</v>
      </c>
      <c r="G6" s="41">
        <v>0.11719133898606333</v>
      </c>
      <c r="H6" s="41">
        <v>0.10498716371831172</v>
      </c>
      <c r="K6" s="42" t="s">
        <v>66</v>
      </c>
    </row>
    <row r="7" spans="1:11" ht="15.75" x14ac:dyDescent="0.2">
      <c r="A7">
        <v>8190</v>
      </c>
      <c r="B7" s="39">
        <f>(A7/A1)</f>
        <v>8.5627358934415088E-2</v>
      </c>
      <c r="C7">
        <v>248523</v>
      </c>
      <c r="D7" s="39">
        <f>(C7/C1)</f>
        <v>0.17095987320560338</v>
      </c>
      <c r="F7" s="42" t="s">
        <v>67</v>
      </c>
      <c r="G7" s="41">
        <v>8.5627358934415088E-2</v>
      </c>
      <c r="H7" s="41">
        <v>0.17095987320560338</v>
      </c>
      <c r="K7" s="42" t="s">
        <v>67</v>
      </c>
    </row>
    <row r="8" spans="1:11" ht="15.75" x14ac:dyDescent="0.2">
      <c r="A8">
        <v>2997</v>
      </c>
      <c r="B8" s="39">
        <f>(A8/A1)</f>
        <v>3.1333967610066182E-2</v>
      </c>
      <c r="C8">
        <v>206103</v>
      </c>
      <c r="D8" s="39">
        <f>(C8/C1)</f>
        <v>0.14177900132902982</v>
      </c>
      <c r="F8" s="42" t="s">
        <v>68</v>
      </c>
      <c r="G8" s="41">
        <v>3.1333967610066182E-2</v>
      </c>
      <c r="H8" s="41">
        <v>0.14177900132902982</v>
      </c>
      <c r="K8" s="42" t="s">
        <v>68</v>
      </c>
    </row>
    <row r="9" spans="1:11" ht="15.75" x14ac:dyDescent="0.2">
      <c r="A9">
        <v>1501</v>
      </c>
      <c r="B9" s="39">
        <f>(A9/A1)</f>
        <v>1.5693121582485599E-2</v>
      </c>
      <c r="C9">
        <v>223185</v>
      </c>
      <c r="D9" s="39">
        <f>(C9/C1)</f>
        <v>0.15352977109318894</v>
      </c>
      <c r="F9" s="42" t="s">
        <v>69</v>
      </c>
      <c r="G9" s="41">
        <v>1.5693121582485599E-2</v>
      </c>
      <c r="H9" s="41">
        <v>0.15352977109318894</v>
      </c>
      <c r="K9" s="42" t="s">
        <v>69</v>
      </c>
    </row>
    <row r="10" spans="1:11" ht="15.75" x14ac:dyDescent="0.2">
      <c r="A10">
        <v>376</v>
      </c>
      <c r="B10" s="39">
        <f>(A10/A1)</f>
        <v>3.9311217288571518E-3</v>
      </c>
      <c r="C10">
        <v>128899</v>
      </c>
      <c r="D10" s="39">
        <f>(C10/C1)</f>
        <v>8.8670089675116873E-2</v>
      </c>
      <c r="F10" s="42" t="s">
        <v>70</v>
      </c>
      <c r="G10" s="41">
        <v>3.9311217288571518E-3</v>
      </c>
      <c r="H10" s="41">
        <v>8.8670089675116873E-2</v>
      </c>
      <c r="K10" s="42" t="s">
        <v>70</v>
      </c>
    </row>
    <row r="11" spans="1:11" ht="15.75" x14ac:dyDescent="0.2">
      <c r="A11">
        <v>163</v>
      </c>
      <c r="B11" s="39">
        <f>(A11/A1)</f>
        <v>1.7041830899034993E-3</v>
      </c>
      <c r="C11">
        <v>108618</v>
      </c>
      <c r="D11" s="39">
        <f>(C11/C1)</f>
        <v>7.4718716206734301E-2</v>
      </c>
      <c r="F11" s="42" t="s">
        <v>71</v>
      </c>
      <c r="G11" s="41">
        <v>1.7041830899034993E-3</v>
      </c>
      <c r="H11" s="41">
        <v>7.4718716206734301E-2</v>
      </c>
      <c r="K11" s="42" t="s">
        <v>71</v>
      </c>
    </row>
    <row r="12" spans="1:11" ht="15.75" x14ac:dyDescent="0.2">
      <c r="A12">
        <v>80</v>
      </c>
      <c r="B12" s="39">
        <f>(A12/A1)</f>
        <v>8.3640887848024511E-4</v>
      </c>
      <c r="C12">
        <v>206468</v>
      </c>
      <c r="D12" s="39">
        <f>(C12/C1)</f>
        <v>0.14203008615305029</v>
      </c>
      <c r="F12" s="42" t="s">
        <v>72</v>
      </c>
      <c r="G12" s="41">
        <v>8.3640887848024511E-4</v>
      </c>
      <c r="H12" s="41">
        <v>0.14203008615305029</v>
      </c>
      <c r="K12" s="42" t="s">
        <v>72</v>
      </c>
    </row>
    <row r="17" spans="1:5" x14ac:dyDescent="0.2">
      <c r="A17" s="48" t="s">
        <v>73</v>
      </c>
      <c r="B17" s="49"/>
      <c r="C17" s="49"/>
      <c r="D17" s="49"/>
      <c r="E17" s="49"/>
    </row>
  </sheetData>
  <mergeCells count="1">
    <mergeCell ref="A17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TABLE5</vt:lpstr>
      <vt:lpstr>Sheet2</vt:lpstr>
      <vt:lpstr>Chart1</vt:lpstr>
      <vt:lpstr>TABLE5!Print_Area</vt:lpstr>
      <vt:lpstr>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Schroeder</dc:creator>
  <cp:lastModifiedBy>Alyssia Minaya</cp:lastModifiedBy>
  <cp:lastPrinted>2013-12-19T22:34:02Z</cp:lastPrinted>
  <dcterms:created xsi:type="dcterms:W3CDTF">2002-12-20T22:52:14Z</dcterms:created>
  <dcterms:modified xsi:type="dcterms:W3CDTF">2018-11-02T17:14:22Z</dcterms:modified>
</cp:coreProperties>
</file>