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150" windowWidth="7530" windowHeight="4890"/>
  </bookViews>
  <sheets>
    <sheet name="TABLE16" sheetId="1" r:id="rId1"/>
  </sheets>
  <definedNames>
    <definedName name="_xlnm.Print_Area" localSheetId="0">TABLE16!$A$1:$K$346</definedName>
    <definedName name="_xlnm.Print_Area">TABLE16!$P$646:$V$696</definedName>
  </definedNames>
  <calcPr calcId="145621"/>
</workbook>
</file>

<file path=xl/calcChain.xml><?xml version="1.0" encoding="utf-8"?>
<calcChain xmlns="http://schemas.openxmlformats.org/spreadsheetml/2006/main">
  <c r="K340" i="1" l="1"/>
  <c r="K339" i="1"/>
  <c r="E339" i="1"/>
  <c r="K338" i="1"/>
  <c r="E338" i="1"/>
  <c r="K337" i="1"/>
  <c r="E337" i="1"/>
  <c r="K336" i="1"/>
  <c r="E336" i="1"/>
  <c r="K335" i="1"/>
  <c r="E335" i="1"/>
  <c r="K334" i="1"/>
  <c r="E334" i="1"/>
  <c r="K333" i="1"/>
  <c r="E333" i="1"/>
  <c r="K332" i="1"/>
  <c r="E332" i="1"/>
  <c r="K331" i="1"/>
  <c r="E331" i="1"/>
  <c r="K329" i="1"/>
  <c r="J329" i="1"/>
  <c r="I329" i="1"/>
  <c r="H329" i="1"/>
  <c r="E329" i="1"/>
  <c r="D329" i="1"/>
  <c r="C329" i="1"/>
  <c r="B329" i="1"/>
  <c r="K318" i="1"/>
  <c r="E318" i="1"/>
  <c r="K317" i="1"/>
  <c r="E317" i="1"/>
  <c r="K316" i="1"/>
  <c r="E316" i="1"/>
  <c r="K315" i="1"/>
  <c r="E315" i="1"/>
  <c r="K314" i="1"/>
  <c r="E314" i="1"/>
  <c r="K313" i="1"/>
  <c r="E313" i="1"/>
  <c r="K312" i="1"/>
  <c r="E312" i="1"/>
  <c r="K311" i="1"/>
  <c r="E311" i="1"/>
  <c r="K310" i="1"/>
  <c r="E310" i="1"/>
  <c r="K309" i="1"/>
  <c r="E309" i="1"/>
  <c r="K307" i="1"/>
  <c r="J307" i="1"/>
  <c r="I307" i="1"/>
  <c r="H307" i="1"/>
  <c r="E307" i="1"/>
  <c r="D307" i="1"/>
  <c r="C307" i="1"/>
  <c r="B307" i="1"/>
  <c r="K290" i="1"/>
  <c r="E290" i="1"/>
  <c r="K289" i="1"/>
  <c r="E289" i="1"/>
  <c r="K288" i="1"/>
  <c r="E288" i="1"/>
  <c r="K287" i="1"/>
  <c r="E287" i="1"/>
  <c r="K286" i="1"/>
  <c r="E286" i="1"/>
  <c r="K285" i="1"/>
  <c r="E285" i="1"/>
  <c r="K284" i="1"/>
  <c r="E284" i="1"/>
  <c r="K283" i="1"/>
  <c r="E283" i="1"/>
  <c r="K282" i="1"/>
  <c r="E282" i="1"/>
  <c r="E281" i="1"/>
  <c r="K279" i="1"/>
  <c r="J279" i="1"/>
  <c r="I279" i="1"/>
  <c r="H279" i="1"/>
  <c r="E279" i="1"/>
  <c r="D279" i="1"/>
  <c r="C279" i="1"/>
  <c r="B279" i="1"/>
  <c r="K268" i="1"/>
  <c r="E268" i="1"/>
  <c r="K267" i="1"/>
  <c r="E267" i="1"/>
  <c r="K266" i="1"/>
  <c r="E266" i="1"/>
  <c r="K265" i="1"/>
  <c r="E265" i="1"/>
  <c r="K264" i="1"/>
  <c r="E264" i="1"/>
  <c r="K263" i="1"/>
  <c r="E263" i="1"/>
  <c r="K262" i="1"/>
  <c r="E262" i="1"/>
  <c r="K261" i="1"/>
  <c r="E261" i="1"/>
  <c r="K260" i="1"/>
  <c r="E260" i="1"/>
  <c r="K259" i="1"/>
  <c r="E259" i="1"/>
  <c r="K257" i="1"/>
  <c r="J257" i="1"/>
  <c r="I257" i="1"/>
  <c r="H257" i="1"/>
  <c r="E257" i="1"/>
  <c r="D257" i="1"/>
  <c r="C257" i="1"/>
  <c r="B257" i="1"/>
  <c r="E240" i="1"/>
  <c r="D240" i="1"/>
  <c r="C240" i="1"/>
  <c r="C230" i="1" s="1"/>
  <c r="B240" i="1"/>
  <c r="E239" i="1"/>
  <c r="E238" i="1"/>
  <c r="E237" i="1"/>
  <c r="E236" i="1"/>
  <c r="E235" i="1"/>
  <c r="E234" i="1"/>
  <c r="E233" i="1"/>
  <c r="E232" i="1"/>
  <c r="H230" i="1"/>
  <c r="E230" i="1"/>
  <c r="D230" i="1"/>
  <c r="B230" i="1"/>
  <c r="K220" i="1"/>
  <c r="E220" i="1"/>
  <c r="K219" i="1"/>
  <c r="E219" i="1"/>
  <c r="K218" i="1"/>
  <c r="E218" i="1"/>
  <c r="K217" i="1"/>
  <c r="E217" i="1"/>
  <c r="K216" i="1"/>
  <c r="E216" i="1"/>
  <c r="K215" i="1"/>
  <c r="E215" i="1"/>
  <c r="K214" i="1"/>
  <c r="E214" i="1"/>
  <c r="K213" i="1"/>
  <c r="E213" i="1"/>
  <c r="K212" i="1"/>
  <c r="E212" i="1"/>
  <c r="K211" i="1"/>
  <c r="E211" i="1"/>
  <c r="K209" i="1"/>
  <c r="J209" i="1"/>
  <c r="I209" i="1"/>
  <c r="H209" i="1"/>
  <c r="E209" i="1"/>
  <c r="D209" i="1"/>
  <c r="C209" i="1"/>
  <c r="B209" i="1"/>
  <c r="K193" i="1"/>
  <c r="E193" i="1"/>
  <c r="K192" i="1"/>
  <c r="E192" i="1"/>
  <c r="K191" i="1"/>
  <c r="E191" i="1"/>
  <c r="K190" i="1"/>
  <c r="E190" i="1"/>
  <c r="K189" i="1"/>
  <c r="E189" i="1"/>
  <c r="K188" i="1"/>
  <c r="E188" i="1"/>
  <c r="K187" i="1"/>
  <c r="E187" i="1"/>
  <c r="K186" i="1"/>
  <c r="E186" i="1"/>
  <c r="K185" i="1"/>
  <c r="E185" i="1"/>
  <c r="K184" i="1"/>
  <c r="E184" i="1"/>
  <c r="K182" i="1"/>
  <c r="J182" i="1"/>
  <c r="I182" i="1"/>
  <c r="H182" i="1"/>
  <c r="E182" i="1"/>
  <c r="D182" i="1"/>
  <c r="C182" i="1"/>
  <c r="B182" i="1"/>
  <c r="K171" i="1"/>
  <c r="J171" i="1"/>
  <c r="I171" i="1"/>
  <c r="H171" i="1"/>
  <c r="H161" i="1" s="1"/>
  <c r="E171" i="1"/>
  <c r="D171" i="1"/>
  <c r="C171" i="1"/>
  <c r="K170" i="1"/>
  <c r="E170" i="1"/>
  <c r="K169" i="1"/>
  <c r="E169" i="1"/>
  <c r="K168" i="1"/>
  <c r="E168" i="1"/>
  <c r="K167" i="1"/>
  <c r="E167" i="1"/>
  <c r="K166" i="1"/>
  <c r="E166" i="1"/>
  <c r="K165" i="1"/>
  <c r="E165" i="1"/>
  <c r="K164" i="1"/>
  <c r="E164" i="1"/>
  <c r="K163" i="1"/>
  <c r="E163" i="1"/>
  <c r="K161" i="1"/>
  <c r="J161" i="1"/>
  <c r="I161" i="1"/>
  <c r="E161" i="1"/>
  <c r="D161" i="1"/>
  <c r="C161" i="1"/>
  <c r="B161" i="1"/>
  <c r="E144" i="1"/>
  <c r="E143" i="1"/>
  <c r="E142" i="1"/>
  <c r="K141" i="1"/>
  <c r="J141" i="1"/>
  <c r="I141" i="1"/>
  <c r="E141" i="1"/>
  <c r="K140" i="1"/>
  <c r="E140" i="1"/>
  <c r="K139" i="1"/>
  <c r="E139" i="1"/>
  <c r="K138" i="1"/>
  <c r="E138" i="1"/>
  <c r="K137" i="1"/>
  <c r="E137" i="1"/>
  <c r="K136" i="1"/>
  <c r="E136" i="1"/>
  <c r="K135" i="1"/>
  <c r="E135" i="1"/>
  <c r="K133" i="1"/>
  <c r="J133" i="1"/>
  <c r="I133" i="1"/>
  <c r="H133" i="1"/>
  <c r="E133" i="1"/>
  <c r="D133" i="1"/>
  <c r="C133" i="1"/>
  <c r="B133" i="1"/>
  <c r="K123" i="1"/>
  <c r="E123" i="1"/>
  <c r="K122" i="1"/>
  <c r="E122" i="1"/>
  <c r="K121" i="1"/>
  <c r="E121" i="1"/>
  <c r="K120" i="1"/>
  <c r="E120" i="1"/>
  <c r="K119" i="1"/>
  <c r="E119" i="1"/>
  <c r="K118" i="1"/>
  <c r="E118" i="1"/>
  <c r="K117" i="1"/>
  <c r="E117" i="1"/>
  <c r="K116" i="1"/>
  <c r="E116" i="1"/>
  <c r="K115" i="1"/>
  <c r="E115" i="1"/>
  <c r="K114" i="1"/>
  <c r="E114" i="1"/>
  <c r="K112" i="1"/>
  <c r="J112" i="1"/>
  <c r="I112" i="1"/>
  <c r="H112" i="1"/>
  <c r="E112" i="1"/>
  <c r="D112" i="1"/>
  <c r="C112" i="1"/>
  <c r="B112" i="1"/>
  <c r="K97" i="1"/>
  <c r="J97" i="1"/>
  <c r="I97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89" i="1"/>
  <c r="E89" i="1"/>
  <c r="K87" i="1"/>
  <c r="J87" i="1"/>
  <c r="I87" i="1"/>
  <c r="H87" i="1"/>
  <c r="E87" i="1"/>
  <c r="D87" i="1"/>
  <c r="C87" i="1"/>
  <c r="B87" i="1"/>
  <c r="K77" i="1"/>
  <c r="E77" i="1"/>
  <c r="K76" i="1"/>
  <c r="E76" i="1"/>
  <c r="K75" i="1"/>
  <c r="J75" i="1"/>
  <c r="I75" i="1"/>
  <c r="H75" i="1"/>
  <c r="E75" i="1"/>
  <c r="K74" i="1"/>
  <c r="J74" i="1"/>
  <c r="I74" i="1"/>
  <c r="H74" i="1"/>
  <c r="E74" i="1"/>
  <c r="K73" i="1"/>
  <c r="J73" i="1"/>
  <c r="I73" i="1"/>
  <c r="H73" i="1"/>
  <c r="E73" i="1"/>
  <c r="K72" i="1"/>
  <c r="J72" i="1"/>
  <c r="I72" i="1"/>
  <c r="H72" i="1"/>
  <c r="E72" i="1"/>
  <c r="K71" i="1"/>
  <c r="J71" i="1"/>
  <c r="I71" i="1"/>
  <c r="H71" i="1"/>
  <c r="E71" i="1"/>
  <c r="K70" i="1"/>
  <c r="J70" i="1"/>
  <c r="J66" i="1" s="1"/>
  <c r="I70" i="1"/>
  <c r="H70" i="1"/>
  <c r="E70" i="1"/>
  <c r="K69" i="1"/>
  <c r="J69" i="1"/>
  <c r="I69" i="1"/>
  <c r="H69" i="1"/>
  <c r="E69" i="1"/>
  <c r="K68" i="1"/>
  <c r="J68" i="1"/>
  <c r="I68" i="1"/>
  <c r="H68" i="1"/>
  <c r="H66" i="1" s="1"/>
  <c r="E68" i="1"/>
  <c r="K66" i="1"/>
  <c r="I66" i="1"/>
  <c r="E66" i="1"/>
  <c r="D66" i="1"/>
  <c r="C66" i="1"/>
  <c r="B66" i="1"/>
  <c r="K47" i="1"/>
  <c r="K46" i="1"/>
  <c r="K45" i="1"/>
  <c r="K44" i="1"/>
  <c r="E44" i="1"/>
  <c r="D44" i="1"/>
  <c r="C44" i="1"/>
  <c r="B44" i="1"/>
  <c r="K43" i="1"/>
  <c r="E43" i="1"/>
  <c r="K42" i="1"/>
  <c r="E42" i="1"/>
  <c r="K41" i="1"/>
  <c r="E41" i="1"/>
  <c r="K40" i="1"/>
  <c r="E40" i="1"/>
  <c r="K39" i="1"/>
  <c r="E39" i="1"/>
  <c r="K38" i="1"/>
  <c r="E38" i="1"/>
  <c r="K36" i="1"/>
  <c r="J36" i="1"/>
  <c r="I36" i="1"/>
  <c r="H36" i="1"/>
  <c r="E36" i="1"/>
  <c r="D36" i="1"/>
  <c r="C36" i="1"/>
  <c r="B36" i="1"/>
  <c r="K23" i="1"/>
  <c r="J23" i="1"/>
  <c r="I23" i="1"/>
  <c r="K22" i="1"/>
  <c r="K21" i="1"/>
  <c r="K20" i="1"/>
  <c r="K19" i="1"/>
  <c r="K18" i="1"/>
  <c r="K14" i="1"/>
  <c r="J14" i="1"/>
  <c r="I14" i="1"/>
  <c r="H14" i="1"/>
  <c r="E14" i="1"/>
  <c r="D14" i="1"/>
  <c r="C14" i="1"/>
</calcChain>
</file>

<file path=xl/sharedStrings.xml><?xml version="1.0" encoding="utf-8"?>
<sst xmlns="http://schemas.openxmlformats.org/spreadsheetml/2006/main" count="695" uniqueCount="64">
  <si>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</si>
  <si>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</si>
  <si>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</si>
  <si>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</si>
  <si>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</si>
  <si>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</si>
  <si>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</si>
  <si>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</si>
  <si>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</si>
  <si>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</si>
  <si>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</si>
  <si>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</si>
  <si>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</si>
  <si>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</si>
  <si>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</si>
  <si>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</si>
  <si>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</si>
  <si>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</si>
  <si>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</si>
  <si>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</si>
  <si>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</si>
  <si>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</si>
  <si>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</si>
  <si>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</si>
  <si>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</si>
  <si>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</si>
  <si>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</si>
  <si>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</si>
  <si>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</si>
  <si>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</si>
  <si>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</si>
  <si>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</si>
  <si>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</si>
  <si>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</si>
  <si>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</si>
  <si>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</si>
  <si>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</si>
  <si>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</si>
  <si>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</si>
  <si>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</si>
  <si>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</si>
  <si>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</si>
  <si>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</si>
  <si>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</si>
  <si>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</si>
  <si>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</si>
  <si>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</si>
  <si>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</si>
  <si>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</si>
  <si>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</si>
  <si>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</si>
  <si>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</si>
  <si>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</si>
  <si>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</si>
  <si>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</si>
  <si>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</si>
  <si>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</si>
  <si>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</si>
  <si>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 500 &amp; Over</t>
  </si>
  <si>
    <t xml:space="preserve">250-499 </t>
  </si>
  <si>
    <t>EDUCATIONAL SERVICES (PRIVATE) (61)</t>
  </si>
  <si>
    <t>TABLE 16.  UTAH ESTABLISHMENTS, EMPLOYMENT, AND WAGES BY FIRM SIZE AND INDUSTRY, FIRST QUARTER 2016</t>
  </si>
  <si>
    <t>SOURCE: Utah Department of Workforce Services, Workforce Research &amp; Analysis, Annual Report of Labor Market Information, 2016</t>
  </si>
  <si>
    <t>TABLE 16.  (cont.)UTAH ESTABLISHMENTS, EMPLOYMENT, AND WAGES BY FIRM SIZE AND INDUSTRY, FIRST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</si>
</sst>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\ ;\(&quot;$&quot;#,##0\)"/>
    <numFmt numFmtId="165" formatCode="&quot;$&quot;#,##0"/>
  </numFmts>
  <fonts count="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3" fontId="0" fillId="0" borderId="0" xfId="0" applyNumberFormat="1"/>
    <xf numFmtId="3" fontId="0" fillId="4" borderId="0" xfId="0" applyNumberFormat="1" applyFill="1" applyBorder="1"/>
    <xf numFmtId="3" fontId="0" fillId="0" borderId="0" xfId="0" applyNumberFormat="1" applyBorder="1"/>
    <xf numFmtId="3" fontId="6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/>
    <xf numFmtId="3" fontId="0" fillId="2" borderId="0" xfId="0" applyNumberFormat="1" applyFill="1" applyBorder="1"/>
    <xf numFmtId="3" fontId="4" fillId="2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3" fontId="4" fillId="5" borderId="0" xfId="0" applyNumberFormat="1" applyFont="1" applyFill="1" applyBorder="1"/>
    <xf numFmtId="165" fontId="4" fillId="5" borderId="0" xfId="0" applyNumberFormat="1" applyFont="1" applyFill="1" applyBorder="1"/>
    <xf numFmtId="164" fontId="4" fillId="5" borderId="0" xfId="0" applyNumberFormat="1" applyFont="1" applyFill="1" applyBorder="1"/>
    <xf numFmtId="3" fontId="0" fillId="5" borderId="0" xfId="0" applyNumberFormat="1" applyFill="1" applyBorder="1"/>
    <xf numFmtId="3" fontId="0" fillId="5" borderId="0" xfId="0" quotePrefix="1" applyNumberFormat="1" applyFill="1" applyBorder="1"/>
    <xf numFmtId="3" fontId="2" fillId="5" borderId="0" xfId="0" applyNumberFormat="1" applyFont="1" applyFill="1" applyBorder="1"/>
    <xf numFmtId="3" fontId="2" fillId="5" borderId="0" xfId="1" applyNumberFormat="1" applyFont="1" applyFill="1" applyBorder="1"/>
    <xf numFmtId="3" fontId="2" fillId="0" borderId="0" xfId="0" applyNumberFormat="1" applyFont="1" applyBorder="1" applyAlignment="1"/>
    <xf numFmtId="3" fontId="0" fillId="0" borderId="0" xfId="0" applyNumberFormat="1" applyBorder="1" applyAlignment="1"/>
    <xf numFmtId="3" fontId="2" fillId="3" borderId="0" xfId="0" applyNumberFormat="1" applyFont="1" applyFill="1" applyBorder="1" applyAlignment="1"/>
    <xf numFmtId="3" fontId="0" fillId="3" borderId="0" xfId="0" applyNumberFormat="1" applyFill="1" applyBorder="1" applyAlignment="1"/>
    <xf numFmtId="3" fontId="2" fillId="2" borderId="0" xfId="0" applyNumberFormat="1" applyFont="1" applyFill="1" applyBorder="1" applyAlignment="1"/>
    <xf numFmtId="3" fontId="0" fillId="2" borderId="0" xfId="0" applyNumberFormat="1" applyFill="1" applyBorder="1" applyAlignment="1"/>
    <xf numFmtId="3" fontId="4" fillId="0" borderId="0" xfId="0" applyNumberFormat="1" applyFont="1" applyFill="1" applyBorder="1"/>
    <xf numFmtId="3" fontId="2" fillId="3" borderId="0" xfId="0" applyNumberFormat="1" applyFont="1" applyFill="1" applyBorder="1" applyAlignment="1"/>
    <xf numFmtId="3" fontId="0" fillId="3" borderId="0" xfId="0" applyNumberFormat="1" applyFill="1" applyBorder="1" applyAlignment="1"/>
    <xf numFmtId="3" fontId="2" fillId="0" borderId="0" xfId="0" applyNumberFormat="1" applyFont="1" applyBorder="1"/>
    <xf numFmtId="3" fontId="1" fillId="0" borderId="0" xfId="0" applyNumberFormat="1" applyFont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164" fontId="4" fillId="0" borderId="0" xfId="0" applyNumberFormat="1" applyFont="1" applyBorder="1" applyAlignment="1"/>
    <xf numFmtId="3" fontId="0" fillId="0" borderId="0" xfId="0" quotePrefix="1" applyNumberFormat="1" applyBorder="1"/>
    <xf numFmtId="3" fontId="0" fillId="5" borderId="0" xfId="0" applyNumberFormat="1" applyFill="1" applyBorder="1" applyAlignment="1">
      <alignment horizontal="left"/>
    </xf>
    <xf numFmtId="3" fontId="3" fillId="5" borderId="0" xfId="0" applyNumberFormat="1" applyFont="1" applyFill="1" applyBorder="1"/>
    <xf numFmtId="164" fontId="0" fillId="0" borderId="0" xfId="0" applyNumberFormat="1" applyBorder="1"/>
    <xf numFmtId="4" fontId="0" fillId="0" borderId="0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6"/>
  <sheetViews>
    <sheetView tabSelected="1" zoomScaleNormal="100" workbookViewId="0">
      <selection activeCell="G27" sqref="G27"/>
    </sheetView>
  </sheetViews>
  <sheetFormatPr defaultRowHeight="12.75" x14ac:dyDescent="0.2"/>
  <cols>
    <col min="1" max="1" width="12.7109375" style="2" customWidth="1"/>
    <col min="2" max="2" width="20.140625" style="2" customWidth="1"/>
    <col min="3" max="3" width="13.7109375" style="2" customWidth="1"/>
    <col min="4" max="4" width="15.85546875" style="2" customWidth="1"/>
    <col min="5" max="5" width="11.7109375" style="2" customWidth="1"/>
    <col min="6" max="6" width="6.7109375" style="2" customWidth="1"/>
    <col min="7" max="7" width="12.7109375" style="2" customWidth="1"/>
    <col min="8" max="8" width="14.7109375" style="2" customWidth="1"/>
    <col min="9" max="9" width="13.7109375" style="2" customWidth="1"/>
    <col min="10" max="10" width="17" style="2" customWidth="1"/>
    <col min="11" max="11" width="11.7109375" style="2" customWidth="1"/>
    <col min="12" max="12" width="9.140625" style="2"/>
    <col min="13" max="13" width="12.7109375" style="2" customWidth="1"/>
    <col min="14" max="14" width="11.7109375" style="2" customWidth="1"/>
    <col min="15" max="15" width="12.7109375" style="2" customWidth="1"/>
    <col min="16" max="16" width="14.7109375" style="2" customWidth="1"/>
    <col min="17" max="17" width="12.7109375" style="2" customWidth="1"/>
    <col min="18" max="18" width="11.140625" style="2" bestFit="1" customWidth="1"/>
    <col min="19" max="19" width="12.7109375" style="2" customWidth="1"/>
    <col min="20" max="20" width="14.7109375" style="2" customWidth="1"/>
    <col min="21" max="21" width="11.7109375" style="2" customWidth="1"/>
    <col min="22" max="22" width="14.7109375" style="2" customWidth="1"/>
    <col min="23" max="23" width="11.7109375" style="2" customWidth="1"/>
    <col min="24" max="25" width="11.140625" style="2" bestFit="1" customWidth="1"/>
    <col min="26" max="27" width="9.140625" style="2"/>
    <col min="28" max="28" width="10.7109375" style="2" customWidth="1"/>
    <col min="29" max="31" width="9.140625" style="2"/>
    <col min="32" max="32" width="3.7109375" style="2" customWidth="1"/>
    <col min="33" max="35" width="9.140625" style="2"/>
    <col min="36" max="36" width="4.7109375" style="2" customWidth="1"/>
    <col min="37" max="37" width="15.7109375" style="2" customWidth="1"/>
    <col min="38" max="40" width="9.140625" style="2"/>
    <col min="41" max="41" width="12.7109375" style="2" customWidth="1"/>
    <col min="42" max="43" width="11.7109375" style="2" customWidth="1"/>
    <col min="44" max="44" width="14.7109375" style="2" customWidth="1"/>
    <col min="45" max="45" width="11.7109375" style="2" customWidth="1"/>
    <col min="46" max="46" width="9.140625" style="2"/>
    <col min="47" max="47" width="12.7109375" style="2" customWidth="1"/>
    <col min="48" max="49" width="11.7109375" style="2" customWidth="1"/>
    <col min="50" max="50" width="14.7109375" style="2" customWidth="1"/>
    <col min="51" max="51" width="11.7109375" style="2" customWidth="1"/>
    <col min="52" max="52" width="9.140625" style="2"/>
    <col min="53" max="55" width="11.7109375" style="2" customWidth="1"/>
    <col min="56" max="56" width="14.7109375" style="2" customWidth="1"/>
    <col min="57" max="57" width="11.7109375" style="2" customWidth="1"/>
    <col min="58" max="58" width="9.140625" style="2"/>
    <col min="59" max="61" width="11.7109375" style="2" customWidth="1"/>
    <col min="62" max="62" width="14.7109375" style="2" customWidth="1"/>
    <col min="63" max="63" width="11.7109375" style="2" customWidth="1"/>
    <col min="64" max="64" width="9.140625" style="2"/>
    <col min="65" max="65" width="12.7109375" style="2" customWidth="1"/>
    <col min="66" max="67" width="11.7109375" style="2" customWidth="1"/>
    <col min="68" max="68" width="14.7109375" style="2" customWidth="1"/>
    <col min="69" max="69" width="11.7109375" style="2" customWidth="1"/>
    <col min="70" max="70" width="9.140625" style="2"/>
    <col min="71" max="71" width="12.7109375" style="2" customWidth="1"/>
    <col min="72" max="73" width="11.7109375" style="2" customWidth="1"/>
    <col min="74" max="74" width="14.7109375" style="2" customWidth="1"/>
    <col min="75" max="75" width="11.7109375" style="2" customWidth="1"/>
    <col min="76" max="16384" width="9.1406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x14ac:dyDescent="0.2">
      <c r="A2" s="3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7" t="s">
        <v>0</v>
      </c>
      <c r="B7" s="7"/>
      <c r="C7" s="7"/>
      <c r="D7" s="7"/>
      <c r="E7" s="7"/>
      <c r="F7" s="6"/>
      <c r="G7" s="7" t="s">
        <v>1</v>
      </c>
      <c r="H7" s="7"/>
      <c r="I7" s="7"/>
      <c r="J7" s="7"/>
      <c r="K7" s="7"/>
    </row>
    <row r="9" spans="1:11" x14ac:dyDescent="0.2">
      <c r="A9" s="8"/>
      <c r="B9" s="8"/>
      <c r="C9" s="8"/>
      <c r="D9" s="8" t="s">
        <v>2</v>
      </c>
      <c r="E9" s="8" t="s">
        <v>3</v>
      </c>
      <c r="G9" s="8"/>
      <c r="H9" s="8"/>
      <c r="I9" s="8"/>
      <c r="J9" s="8" t="s">
        <v>2</v>
      </c>
      <c r="K9" s="8" t="s">
        <v>3</v>
      </c>
    </row>
    <row r="10" spans="1:11" x14ac:dyDescent="0.2">
      <c r="A10" s="9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G10" s="9" t="s">
        <v>4</v>
      </c>
      <c r="H10" s="8" t="s">
        <v>5</v>
      </c>
      <c r="I10" s="8" t="s">
        <v>6</v>
      </c>
      <c r="J10" s="8" t="s">
        <v>7</v>
      </c>
      <c r="K10" s="8" t="s">
        <v>8</v>
      </c>
    </row>
    <row r="11" spans="1:11" x14ac:dyDescent="0.2">
      <c r="A11" s="9" t="s">
        <v>9</v>
      </c>
      <c r="B11" s="8" t="s">
        <v>10</v>
      </c>
      <c r="C11" s="8" t="s">
        <v>11</v>
      </c>
      <c r="D11" s="8" t="s">
        <v>12</v>
      </c>
      <c r="E11" s="8" t="s">
        <v>13</v>
      </c>
      <c r="G11" s="9" t="s">
        <v>9</v>
      </c>
      <c r="H11" s="8" t="s">
        <v>10</v>
      </c>
      <c r="I11" s="8" t="s">
        <v>11</v>
      </c>
      <c r="J11" s="8" t="s">
        <v>12</v>
      </c>
      <c r="K11" s="8" t="s">
        <v>13</v>
      </c>
    </row>
    <row r="14" spans="1:11" x14ac:dyDescent="0.2">
      <c r="A14" s="10" t="s">
        <v>14</v>
      </c>
      <c r="B14" s="10">
        <v>93168</v>
      </c>
      <c r="C14" s="10">
        <f>SUM(C17:C25)</f>
        <v>1409771</v>
      </c>
      <c r="D14" s="11">
        <f>SUM(D16:D25)</f>
        <v>15133315614</v>
      </c>
      <c r="E14" s="12">
        <f>10817/3</f>
        <v>3605.6666666666665</v>
      </c>
      <c r="F14" s="10"/>
      <c r="G14" s="10" t="s">
        <v>14</v>
      </c>
      <c r="H14" s="10">
        <f>SUM(H16:H25)</f>
        <v>603</v>
      </c>
      <c r="I14" s="10">
        <f>SUM(I16:I25)</f>
        <v>8735</v>
      </c>
      <c r="J14" s="10">
        <f>SUM(J16:J25)</f>
        <v>196040318</v>
      </c>
      <c r="K14" s="10">
        <f>22179/3</f>
        <v>7393</v>
      </c>
    </row>
    <row r="16" spans="1:11" x14ac:dyDescent="0.2">
      <c r="A16" s="2" t="s">
        <v>15</v>
      </c>
      <c r="B16" s="2">
        <v>11714</v>
      </c>
      <c r="C16" s="2">
        <v>0</v>
      </c>
      <c r="D16" s="2">
        <v>52425618</v>
      </c>
      <c r="E16" s="2">
        <v>4137.333333333333</v>
      </c>
      <c r="G16" s="2" t="s">
        <v>15</v>
      </c>
      <c r="H16" s="2">
        <v>134</v>
      </c>
      <c r="I16" s="2">
        <v>0</v>
      </c>
      <c r="J16" s="2">
        <v>726538</v>
      </c>
      <c r="K16" s="2">
        <v>6919.333333333333</v>
      </c>
    </row>
    <row r="17" spans="1:11" x14ac:dyDescent="0.2">
      <c r="A17" s="2" t="s">
        <v>16</v>
      </c>
      <c r="B17" s="2">
        <v>43213</v>
      </c>
      <c r="C17" s="2">
        <v>79930</v>
      </c>
      <c r="D17" s="2">
        <v>915994499</v>
      </c>
      <c r="E17" s="2">
        <v>3873.6666666666665</v>
      </c>
      <c r="G17" s="2" t="s">
        <v>16</v>
      </c>
      <c r="H17" s="2">
        <v>235</v>
      </c>
      <c r="I17" s="2">
        <v>424</v>
      </c>
      <c r="J17" s="2">
        <v>6997829</v>
      </c>
      <c r="K17" s="2">
        <v>5305.333333333333</v>
      </c>
    </row>
    <row r="18" spans="1:11" x14ac:dyDescent="0.2">
      <c r="A18" s="2" t="s">
        <v>17</v>
      </c>
      <c r="B18" s="2">
        <v>14560</v>
      </c>
      <c r="C18" s="2">
        <v>96889</v>
      </c>
      <c r="D18" s="2">
        <v>878511521</v>
      </c>
      <c r="E18" s="2">
        <v>3069.6666666666665</v>
      </c>
      <c r="G18" s="2" t="s">
        <v>17</v>
      </c>
      <c r="H18" s="2">
        <v>79</v>
      </c>
      <c r="I18" s="2">
        <v>532</v>
      </c>
      <c r="J18" s="2">
        <v>8793905</v>
      </c>
      <c r="K18" s="2">
        <f>15807/3</f>
        <v>5269</v>
      </c>
    </row>
    <row r="19" spans="1:11" x14ac:dyDescent="0.2">
      <c r="A19" s="2" t="s">
        <v>56</v>
      </c>
      <c r="B19" s="2">
        <v>10805</v>
      </c>
      <c r="C19" s="2">
        <v>146973</v>
      </c>
      <c r="D19" s="2">
        <v>1283417609</v>
      </c>
      <c r="E19" s="2">
        <v>2951.6666666666665</v>
      </c>
      <c r="G19" s="2" t="s">
        <v>56</v>
      </c>
      <c r="H19" s="2">
        <v>77</v>
      </c>
      <c r="I19" s="2">
        <v>1033</v>
      </c>
      <c r="J19" s="2">
        <v>16534092</v>
      </c>
      <c r="K19" s="2">
        <f>15613/3</f>
        <v>5204.333333333333</v>
      </c>
    </row>
    <row r="20" spans="1:11" x14ac:dyDescent="0.2">
      <c r="A20" s="2" t="s">
        <v>18</v>
      </c>
      <c r="B20" s="2">
        <v>7820</v>
      </c>
      <c r="C20" s="2">
        <v>236134</v>
      </c>
      <c r="D20" s="2">
        <v>2205174465</v>
      </c>
      <c r="E20" s="2">
        <v>3151</v>
      </c>
      <c r="G20" s="2" t="s">
        <v>18</v>
      </c>
      <c r="H20" s="2">
        <v>44</v>
      </c>
      <c r="I20" s="2">
        <v>1353</v>
      </c>
      <c r="J20" s="2">
        <v>25542559</v>
      </c>
      <c r="K20" s="2">
        <f>18967/3</f>
        <v>6322.333333333333</v>
      </c>
    </row>
    <row r="21" spans="1:11" x14ac:dyDescent="0.2">
      <c r="A21" s="2" t="s">
        <v>19</v>
      </c>
      <c r="B21" s="2">
        <v>2999</v>
      </c>
      <c r="C21" s="2">
        <v>205103</v>
      </c>
      <c r="D21" s="2">
        <v>2059208757</v>
      </c>
      <c r="E21" s="2">
        <v>3380</v>
      </c>
      <c r="G21" s="2" t="s">
        <v>19</v>
      </c>
      <c r="H21" s="2">
        <v>18</v>
      </c>
      <c r="I21" s="2">
        <v>1208</v>
      </c>
      <c r="J21" s="2">
        <v>24212065</v>
      </c>
      <c r="K21" s="2">
        <f>20121/3</f>
        <v>6707</v>
      </c>
    </row>
    <row r="22" spans="1:11" x14ac:dyDescent="0.2">
      <c r="A22" s="2" t="s">
        <v>20</v>
      </c>
      <c r="B22" s="2">
        <v>1458</v>
      </c>
      <c r="C22" s="2">
        <v>217921</v>
      </c>
      <c r="D22" s="2">
        <v>2447845701</v>
      </c>
      <c r="E22" s="2">
        <v>3793</v>
      </c>
      <c r="G22" s="2" t="s">
        <v>20</v>
      </c>
      <c r="H22" s="2">
        <v>9</v>
      </c>
      <c r="I22" s="2">
        <v>1368</v>
      </c>
      <c r="J22" s="2">
        <v>30669215</v>
      </c>
      <c r="K22" s="2">
        <f>21860/3</f>
        <v>7286.666666666667</v>
      </c>
    </row>
    <row r="23" spans="1:11" x14ac:dyDescent="0.2">
      <c r="A23" s="2" t="s">
        <v>21</v>
      </c>
      <c r="B23" s="2">
        <v>378</v>
      </c>
      <c r="C23" s="2">
        <v>130642</v>
      </c>
      <c r="D23" s="2">
        <v>1657939234</v>
      </c>
      <c r="E23" s="2">
        <v>4256</v>
      </c>
      <c r="G23" s="2" t="s">
        <v>22</v>
      </c>
      <c r="H23" s="2">
        <v>7</v>
      </c>
      <c r="I23" s="2">
        <f>1984+833</f>
        <v>2817</v>
      </c>
      <c r="J23" s="2">
        <f>57800187+24763928</f>
        <v>82564115</v>
      </c>
      <c r="K23" s="2">
        <f>(57800187+24763928)/(1957+846+1933+835+833+1984)</f>
        <v>9843.1229136862185</v>
      </c>
    </row>
    <row r="24" spans="1:11" x14ac:dyDescent="0.2">
      <c r="A24" s="2" t="s">
        <v>23</v>
      </c>
      <c r="B24" s="2">
        <v>143</v>
      </c>
      <c r="C24" s="2">
        <v>96110</v>
      </c>
      <c r="D24" s="2">
        <v>1215917905</v>
      </c>
      <c r="E24" s="2">
        <v>4245.333333333333</v>
      </c>
    </row>
    <row r="25" spans="1:11" x14ac:dyDescent="0.2">
      <c r="A25" s="2" t="s">
        <v>57</v>
      </c>
      <c r="B25" s="2">
        <v>78</v>
      </c>
      <c r="C25" s="2">
        <v>200069</v>
      </c>
      <c r="D25" s="2">
        <v>2416880305</v>
      </c>
      <c r="E25" s="2">
        <v>4050.6666666666665</v>
      </c>
    </row>
    <row r="28" spans="1:1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7" t="s">
        <v>25</v>
      </c>
      <c r="B29" s="7"/>
      <c r="C29" s="7"/>
      <c r="D29" s="7"/>
      <c r="E29" s="7"/>
      <c r="F29" s="6"/>
      <c r="G29" s="7" t="s">
        <v>26</v>
      </c>
      <c r="H29" s="7"/>
      <c r="I29" s="7"/>
      <c r="J29" s="7"/>
      <c r="K29" s="7"/>
    </row>
    <row r="31" spans="1:11" x14ac:dyDescent="0.2">
      <c r="C31" s="8"/>
      <c r="D31" s="8" t="s">
        <v>2</v>
      </c>
      <c r="E31" s="8" t="s">
        <v>3</v>
      </c>
      <c r="H31" s="8"/>
      <c r="I31" s="8"/>
      <c r="J31" s="8" t="s">
        <v>2</v>
      </c>
      <c r="K31" s="8" t="s">
        <v>3</v>
      </c>
    </row>
    <row r="32" spans="1:11" x14ac:dyDescent="0.2">
      <c r="A32" s="9" t="s">
        <v>4</v>
      </c>
      <c r="B32" s="2" t="s">
        <v>5</v>
      </c>
      <c r="C32" s="8" t="s">
        <v>6</v>
      </c>
      <c r="D32" s="8" t="s">
        <v>7</v>
      </c>
      <c r="E32" s="8" t="s">
        <v>8</v>
      </c>
      <c r="G32" s="9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x14ac:dyDescent="0.2">
      <c r="A33" s="9" t="s">
        <v>9</v>
      </c>
      <c r="B33" s="2" t="s">
        <v>10</v>
      </c>
      <c r="C33" s="8" t="s">
        <v>11</v>
      </c>
      <c r="D33" s="8" t="s">
        <v>12</v>
      </c>
      <c r="E33" s="8" t="s">
        <v>13</v>
      </c>
      <c r="G33" s="9" t="s">
        <v>9</v>
      </c>
      <c r="H33" s="8" t="s">
        <v>10</v>
      </c>
      <c r="I33" s="8" t="s">
        <v>11</v>
      </c>
      <c r="J33" s="8" t="s">
        <v>12</v>
      </c>
      <c r="K33" s="8" t="s">
        <v>13</v>
      </c>
    </row>
    <row r="36" spans="1:11" x14ac:dyDescent="0.2">
      <c r="A36" s="13" t="s">
        <v>27</v>
      </c>
      <c r="B36" s="13">
        <f>SUM(B38:B46)</f>
        <v>243</v>
      </c>
      <c r="C36" s="13">
        <f>SUM(C38:C46)</f>
        <v>3889</v>
      </c>
      <c r="D36" s="14">
        <f>SUM(D38:D46)</f>
        <v>79509359</v>
      </c>
      <c r="E36" s="14">
        <f>20519/3</f>
        <v>6839.666666666667</v>
      </c>
      <c r="F36" s="13"/>
      <c r="G36" s="13" t="s">
        <v>14</v>
      </c>
      <c r="H36" s="13">
        <f>SUM(H38:H47)</f>
        <v>10176</v>
      </c>
      <c r="I36" s="13">
        <f>SUM(I38:I47)</f>
        <v>87966</v>
      </c>
      <c r="J36" s="14">
        <f>SUM(J38:J47)</f>
        <v>949615554</v>
      </c>
      <c r="K36" s="15">
        <f>11062/3</f>
        <v>3687.3333333333335</v>
      </c>
    </row>
    <row r="37" spans="1:11" x14ac:dyDescent="0.2">
      <c r="A37" s="16" t="s">
        <v>28</v>
      </c>
      <c r="B37" s="16" t="s">
        <v>28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">
      <c r="A38" s="16" t="s">
        <v>15</v>
      </c>
      <c r="B38" s="16">
        <v>25</v>
      </c>
      <c r="C38" s="16">
        <v>0</v>
      </c>
      <c r="D38" s="16">
        <v>45859</v>
      </c>
      <c r="E38" s="16">
        <f>4913/3</f>
        <v>1637.6666666666667</v>
      </c>
      <c r="F38" s="16"/>
      <c r="G38" s="16" t="s">
        <v>15</v>
      </c>
      <c r="H38" s="16">
        <v>1515</v>
      </c>
      <c r="I38" s="16">
        <v>0</v>
      </c>
      <c r="J38" s="16">
        <v>5626445</v>
      </c>
      <c r="K38" s="16">
        <f>10089/3</f>
        <v>3363</v>
      </c>
    </row>
    <row r="39" spans="1:11" x14ac:dyDescent="0.2">
      <c r="A39" s="16" t="s">
        <v>16</v>
      </c>
      <c r="B39" s="16">
        <v>115</v>
      </c>
      <c r="C39" s="16">
        <v>233</v>
      </c>
      <c r="D39" s="16">
        <v>2627644</v>
      </c>
      <c r="E39" s="16">
        <f>11326/3</f>
        <v>3775.3333333333335</v>
      </c>
      <c r="F39" s="16"/>
      <c r="G39" s="16" t="s">
        <v>16</v>
      </c>
      <c r="H39" s="16">
        <v>5027</v>
      </c>
      <c r="I39" s="16">
        <v>10299</v>
      </c>
      <c r="J39" s="16">
        <v>83117156</v>
      </c>
      <c r="K39" s="16">
        <f>8240/3</f>
        <v>2746.6666666666665</v>
      </c>
    </row>
    <row r="40" spans="1:11" x14ac:dyDescent="0.2">
      <c r="A40" s="16" t="s">
        <v>17</v>
      </c>
      <c r="B40" s="16">
        <v>37</v>
      </c>
      <c r="C40" s="16">
        <v>253</v>
      </c>
      <c r="D40" s="16">
        <v>4243947</v>
      </c>
      <c r="E40" s="16">
        <f>17907/3</f>
        <v>5969</v>
      </c>
      <c r="F40" s="16"/>
      <c r="G40" s="16" t="s">
        <v>17</v>
      </c>
      <c r="H40" s="16">
        <v>1724</v>
      </c>
      <c r="I40" s="16">
        <v>11236</v>
      </c>
      <c r="J40" s="16">
        <v>90294952</v>
      </c>
      <c r="K40" s="16">
        <f>8364/3</f>
        <v>2788</v>
      </c>
    </row>
    <row r="41" spans="1:11" x14ac:dyDescent="0.2">
      <c r="A41" s="17" t="s">
        <v>56</v>
      </c>
      <c r="B41" s="16">
        <v>26</v>
      </c>
      <c r="C41" s="16">
        <v>362</v>
      </c>
      <c r="D41" s="16">
        <v>6166243</v>
      </c>
      <c r="E41" s="16">
        <f>17256/3</f>
        <v>5752</v>
      </c>
      <c r="F41" s="16"/>
      <c r="G41" s="17" t="s">
        <v>56</v>
      </c>
      <c r="H41" s="16">
        <v>1020</v>
      </c>
      <c r="I41" s="16">
        <v>13727</v>
      </c>
      <c r="J41" s="16">
        <v>130418807</v>
      </c>
      <c r="K41" s="16">
        <f>9727/3</f>
        <v>3242.3333333333335</v>
      </c>
    </row>
    <row r="42" spans="1:11" x14ac:dyDescent="0.2">
      <c r="A42" s="16" t="s">
        <v>18</v>
      </c>
      <c r="B42" s="16">
        <v>24</v>
      </c>
      <c r="C42" s="16">
        <v>688</v>
      </c>
      <c r="D42" s="16">
        <v>16510933</v>
      </c>
      <c r="E42" s="16">
        <f>24485/3</f>
        <v>8161.666666666667</v>
      </c>
      <c r="F42" s="16"/>
      <c r="G42" s="16" t="s">
        <v>18</v>
      </c>
      <c r="H42" s="16">
        <v>639</v>
      </c>
      <c r="I42" s="16">
        <v>19307</v>
      </c>
      <c r="J42" s="16">
        <v>207888900</v>
      </c>
      <c r="K42" s="16">
        <f>11048/3</f>
        <v>3682.6666666666665</v>
      </c>
    </row>
    <row r="43" spans="1:11" x14ac:dyDescent="0.2">
      <c r="A43" s="16" t="s">
        <v>19</v>
      </c>
      <c r="B43" s="16">
        <v>8</v>
      </c>
      <c r="C43" s="16">
        <v>583</v>
      </c>
      <c r="D43" s="16">
        <v>12290785</v>
      </c>
      <c r="E43" s="16">
        <f>20439/3</f>
        <v>6813</v>
      </c>
      <c r="F43" s="16"/>
      <c r="G43" s="16" t="s">
        <v>19</v>
      </c>
      <c r="H43" s="16">
        <v>160</v>
      </c>
      <c r="I43" s="16">
        <v>11275</v>
      </c>
      <c r="J43" s="16">
        <v>136407769</v>
      </c>
      <c r="K43" s="16">
        <f>12469/3</f>
        <v>4156.333333333333</v>
      </c>
    </row>
    <row r="44" spans="1:11" x14ac:dyDescent="0.2">
      <c r="A44" s="16" t="s">
        <v>38</v>
      </c>
      <c r="B44" s="16">
        <f>6+2</f>
        <v>8</v>
      </c>
      <c r="C44" s="16">
        <f>884+886</f>
        <v>1770</v>
      </c>
      <c r="D44" s="16">
        <f>18146085+19477863</f>
        <v>37623948</v>
      </c>
      <c r="E44" s="16">
        <f>(18146085+19477863)/(875+885+875+886+884+886)</f>
        <v>7110.9332829332825</v>
      </c>
      <c r="F44" s="16"/>
      <c r="G44" s="16" t="s">
        <v>20</v>
      </c>
      <c r="H44" s="16">
        <v>74</v>
      </c>
      <c r="I44" s="16">
        <v>11144</v>
      </c>
      <c r="J44" s="16">
        <v>144098248</v>
      </c>
      <c r="K44" s="16">
        <f>13569/3</f>
        <v>4523</v>
      </c>
    </row>
    <row r="45" spans="1:11" x14ac:dyDescent="0.2">
      <c r="A45" s="16"/>
      <c r="B45" s="16"/>
      <c r="C45" s="16"/>
      <c r="D45" s="16"/>
      <c r="E45" s="16"/>
      <c r="F45" s="16"/>
      <c r="G45" s="16" t="s">
        <v>21</v>
      </c>
      <c r="H45" s="16">
        <v>10</v>
      </c>
      <c r="I45" s="16">
        <v>3469</v>
      </c>
      <c r="J45" s="16">
        <v>58870728</v>
      </c>
      <c r="K45" s="18">
        <f>17392/3</f>
        <v>5797.333333333333</v>
      </c>
    </row>
    <row r="46" spans="1:11" x14ac:dyDescent="0.2">
      <c r="A46" s="16"/>
      <c r="B46" s="16"/>
      <c r="C46" s="16"/>
      <c r="D46" s="16"/>
      <c r="E46" s="16"/>
      <c r="F46" s="16"/>
      <c r="G46" s="16" t="s">
        <v>23</v>
      </c>
      <c r="H46" s="16">
        <v>4</v>
      </c>
      <c r="I46" s="16">
        <v>2389</v>
      </c>
      <c r="J46" s="16">
        <v>32648878</v>
      </c>
      <c r="K46" s="19">
        <f>14197/3</f>
        <v>4732.333333333333</v>
      </c>
    </row>
    <row r="47" spans="1:11" x14ac:dyDescent="0.2">
      <c r="A47" s="16"/>
      <c r="B47" s="16"/>
      <c r="C47" s="16"/>
      <c r="D47" s="16"/>
      <c r="E47" s="16"/>
      <c r="F47" s="16"/>
      <c r="G47" s="16" t="s">
        <v>24</v>
      </c>
      <c r="H47" s="16">
        <v>3</v>
      </c>
      <c r="I47" s="16">
        <v>5120</v>
      </c>
      <c r="J47" s="16">
        <v>60243671</v>
      </c>
      <c r="K47" s="16">
        <f>12200/3</f>
        <v>4066.6666666666665</v>
      </c>
    </row>
    <row r="50" spans="1:11" x14ac:dyDescent="0.2">
      <c r="A50" s="20" t="s">
        <v>62</v>
      </c>
      <c r="B50" s="21"/>
      <c r="C50" s="21"/>
      <c r="D50" s="21"/>
      <c r="E50" s="21"/>
      <c r="F50" s="21"/>
      <c r="G50" s="21"/>
      <c r="H50" s="21"/>
      <c r="I50" s="2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x14ac:dyDescent="0.2">
      <c r="A54" s="3" t="s">
        <v>63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5"/>
      <c r="B56" s="5"/>
      <c r="C56" s="5"/>
      <c r="D56" s="22"/>
      <c r="E56" s="23"/>
      <c r="F56" s="23"/>
      <c r="G56" s="23"/>
      <c r="H56" s="23"/>
      <c r="I56" s="5"/>
      <c r="J56" s="5"/>
      <c r="K56" s="5"/>
    </row>
    <row r="57" spans="1:11" x14ac:dyDescent="0.2">
      <c r="A57" s="5"/>
      <c r="B57" s="5"/>
      <c r="C57" s="5"/>
      <c r="D57" s="22"/>
      <c r="E57" s="23"/>
      <c r="F57" s="23"/>
      <c r="G57" s="23"/>
      <c r="H57" s="23"/>
      <c r="I57" s="5"/>
      <c r="J57" s="5"/>
      <c r="K57" s="5"/>
    </row>
    <row r="58" spans="1:11" x14ac:dyDescent="0.2">
      <c r="A58" s="6"/>
      <c r="B58" s="6"/>
      <c r="C58" s="6"/>
      <c r="D58" s="24"/>
      <c r="E58" s="25"/>
      <c r="F58" s="25"/>
      <c r="G58" s="25"/>
      <c r="H58" s="25"/>
      <c r="I58" s="6"/>
      <c r="J58" s="6"/>
      <c r="K58" s="6"/>
    </row>
    <row r="59" spans="1:11" x14ac:dyDescent="0.2">
      <c r="A59" s="7" t="s">
        <v>29</v>
      </c>
      <c r="B59" s="7"/>
      <c r="C59" s="7"/>
      <c r="D59" s="7"/>
      <c r="E59" s="7"/>
      <c r="F59" s="6"/>
      <c r="G59" s="7" t="s">
        <v>30</v>
      </c>
      <c r="H59" s="7"/>
      <c r="I59" s="7"/>
      <c r="J59" s="7"/>
      <c r="K59" s="7"/>
    </row>
    <row r="61" spans="1:11" x14ac:dyDescent="0.2">
      <c r="A61" s="8"/>
      <c r="B61" s="8"/>
      <c r="C61" s="8"/>
      <c r="D61" s="8" t="s">
        <v>2</v>
      </c>
      <c r="E61" s="8" t="s">
        <v>3</v>
      </c>
      <c r="G61" s="8"/>
      <c r="H61" s="8"/>
      <c r="I61" s="8"/>
      <c r="J61" s="8" t="s">
        <v>2</v>
      </c>
      <c r="K61" s="8" t="s">
        <v>3</v>
      </c>
    </row>
    <row r="62" spans="1:11" x14ac:dyDescent="0.2">
      <c r="A62" s="9" t="s">
        <v>4</v>
      </c>
      <c r="B62" s="8" t="s">
        <v>5</v>
      </c>
      <c r="C62" s="8" t="s">
        <v>6</v>
      </c>
      <c r="D62" s="8" t="s">
        <v>7</v>
      </c>
      <c r="E62" s="8" t="s">
        <v>8</v>
      </c>
      <c r="G62" s="9" t="s">
        <v>4</v>
      </c>
      <c r="H62" s="8" t="s">
        <v>5</v>
      </c>
      <c r="I62" s="8" t="s">
        <v>6</v>
      </c>
      <c r="J62" s="8" t="s">
        <v>7</v>
      </c>
      <c r="K62" s="8" t="s">
        <v>8</v>
      </c>
    </row>
    <row r="63" spans="1:11" x14ac:dyDescent="0.2">
      <c r="A63" s="9" t="s">
        <v>9</v>
      </c>
      <c r="B63" s="8" t="s">
        <v>10</v>
      </c>
      <c r="C63" s="8" t="s">
        <v>11</v>
      </c>
      <c r="D63" s="8" t="s">
        <v>12</v>
      </c>
      <c r="E63" s="8" t="s">
        <v>13</v>
      </c>
      <c r="G63" s="9" t="s">
        <v>9</v>
      </c>
      <c r="H63" s="8" t="s">
        <v>10</v>
      </c>
      <c r="I63" s="8" t="s">
        <v>11</v>
      </c>
      <c r="J63" s="8" t="s">
        <v>12</v>
      </c>
      <c r="K63" s="8" t="s">
        <v>13</v>
      </c>
    </row>
    <row r="66" spans="1:14" x14ac:dyDescent="0.2">
      <c r="A66" s="10" t="s">
        <v>14</v>
      </c>
      <c r="B66" s="10">
        <f>SUM(B67:B77)</f>
        <v>4046</v>
      </c>
      <c r="C66" s="10">
        <f>SUM(C67:C77)</f>
        <v>124884</v>
      </c>
      <c r="D66" s="11">
        <f>SUM(D67:D77)</f>
        <v>1692408934</v>
      </c>
      <c r="E66" s="12">
        <f>13570/3</f>
        <v>4523.333333333333</v>
      </c>
      <c r="F66" s="10"/>
      <c r="G66" s="10" t="s">
        <v>27</v>
      </c>
      <c r="H66" s="10">
        <f>SUM(H67:H77)</f>
        <v>15528</v>
      </c>
      <c r="I66" s="10">
        <f>SUM(I67:I77)</f>
        <v>211102</v>
      </c>
      <c r="J66" s="11">
        <f>SUM(J67:J77)</f>
        <v>2012787516</v>
      </c>
      <c r="K66" s="11">
        <f>9596/3</f>
        <v>3198.6666666666665</v>
      </c>
    </row>
    <row r="67" spans="1:14" x14ac:dyDescent="0.2">
      <c r="G67" s="2" t="s">
        <v>28</v>
      </c>
    </row>
    <row r="68" spans="1:14" x14ac:dyDescent="0.2">
      <c r="A68" s="16" t="s">
        <v>15</v>
      </c>
      <c r="B68" s="16">
        <v>306</v>
      </c>
      <c r="C68" s="16">
        <v>0</v>
      </c>
      <c r="D68" s="16">
        <v>1709477</v>
      </c>
      <c r="E68" s="16">
        <f>11100/3</f>
        <v>3700</v>
      </c>
      <c r="F68" s="16"/>
      <c r="G68" s="16" t="s">
        <v>15</v>
      </c>
      <c r="H68" s="16">
        <f t="shared" ref="H68:J75" si="0">+B89+H89</f>
        <v>1538</v>
      </c>
      <c r="I68" s="16">
        <f t="shared" si="0"/>
        <v>0</v>
      </c>
      <c r="J68" s="16">
        <f t="shared" si="0"/>
        <v>6416240</v>
      </c>
      <c r="K68" s="16">
        <f>14638/3</f>
        <v>4879.333333333333</v>
      </c>
    </row>
    <row r="69" spans="1:14" x14ac:dyDescent="0.2">
      <c r="A69" s="16" t="s">
        <v>16</v>
      </c>
      <c r="B69" s="16">
        <v>1471</v>
      </c>
      <c r="C69" s="16">
        <v>2955</v>
      </c>
      <c r="D69" s="16">
        <v>33234033</v>
      </c>
      <c r="E69" s="16">
        <f>11258/3</f>
        <v>3752.6666666666665</v>
      </c>
      <c r="F69" s="16"/>
      <c r="G69" s="16" t="s">
        <v>16</v>
      </c>
      <c r="H69" s="16">
        <f t="shared" si="0"/>
        <v>6263</v>
      </c>
      <c r="I69" s="16">
        <f t="shared" si="0"/>
        <v>12401</v>
      </c>
      <c r="J69" s="16">
        <f t="shared" si="0"/>
        <v>168454144</v>
      </c>
      <c r="K69" s="16">
        <f>13690/3</f>
        <v>4563.333333333333</v>
      </c>
    </row>
    <row r="70" spans="1:14" x14ac:dyDescent="0.2">
      <c r="A70" s="16" t="s">
        <v>17</v>
      </c>
      <c r="B70" s="16">
        <v>703</v>
      </c>
      <c r="C70" s="16">
        <v>4722</v>
      </c>
      <c r="D70" s="16">
        <v>43052086</v>
      </c>
      <c r="E70" s="16">
        <f>9166/3</f>
        <v>3055.3333333333335</v>
      </c>
      <c r="F70" s="16"/>
      <c r="G70" s="16" t="s">
        <v>17</v>
      </c>
      <c r="H70" s="16">
        <f t="shared" si="0"/>
        <v>3031</v>
      </c>
      <c r="I70" s="16">
        <f t="shared" si="0"/>
        <v>20389</v>
      </c>
      <c r="J70" s="16">
        <f t="shared" si="0"/>
        <v>182436342</v>
      </c>
      <c r="K70" s="16">
        <f>8983/3</f>
        <v>2994.3333333333335</v>
      </c>
    </row>
    <row r="71" spans="1:14" x14ac:dyDescent="0.2">
      <c r="A71" s="17" t="s">
        <v>56</v>
      </c>
      <c r="B71" s="16">
        <v>561</v>
      </c>
      <c r="C71" s="16">
        <v>7782</v>
      </c>
      <c r="D71" s="16">
        <v>73298493</v>
      </c>
      <c r="E71" s="16">
        <f>9466/3</f>
        <v>3155.3333333333335</v>
      </c>
      <c r="F71" s="16"/>
      <c r="G71" s="17" t="s">
        <v>56</v>
      </c>
      <c r="H71" s="16">
        <f t="shared" si="0"/>
        <v>2524</v>
      </c>
      <c r="I71" s="16">
        <f t="shared" si="0"/>
        <v>34103</v>
      </c>
      <c r="J71" s="16">
        <f t="shared" si="0"/>
        <v>283220845</v>
      </c>
      <c r="K71" s="16">
        <f>8367/3</f>
        <v>2789</v>
      </c>
    </row>
    <row r="72" spans="1:14" x14ac:dyDescent="0.2">
      <c r="A72" s="16" t="s">
        <v>18</v>
      </c>
      <c r="B72" s="16">
        <v>537</v>
      </c>
      <c r="C72" s="16">
        <v>16746</v>
      </c>
      <c r="D72" s="16">
        <v>184879730</v>
      </c>
      <c r="E72" s="16">
        <f>11082/3</f>
        <v>3694</v>
      </c>
      <c r="F72" s="16"/>
      <c r="G72" s="16" t="s">
        <v>18</v>
      </c>
      <c r="H72" s="16">
        <f t="shared" si="0"/>
        <v>1367</v>
      </c>
      <c r="I72" s="16">
        <f t="shared" si="0"/>
        <v>40221</v>
      </c>
      <c r="J72" s="16">
        <f t="shared" si="0"/>
        <v>370442499</v>
      </c>
      <c r="K72" s="16">
        <f>9256/3</f>
        <v>3085.3333333333335</v>
      </c>
    </row>
    <row r="73" spans="1:14" x14ac:dyDescent="0.2">
      <c r="A73" s="16" t="s">
        <v>19</v>
      </c>
      <c r="B73" s="16">
        <v>237</v>
      </c>
      <c r="C73" s="16">
        <v>16584</v>
      </c>
      <c r="D73" s="16">
        <v>214506775</v>
      </c>
      <c r="E73" s="16">
        <f>12969/3</f>
        <v>4323</v>
      </c>
      <c r="F73" s="16"/>
      <c r="G73" s="16" t="s">
        <v>19</v>
      </c>
      <c r="H73" s="16">
        <f t="shared" si="0"/>
        <v>432</v>
      </c>
      <c r="I73" s="16">
        <f t="shared" si="0"/>
        <v>29616</v>
      </c>
      <c r="J73" s="16">
        <f t="shared" si="0"/>
        <v>268049453</v>
      </c>
      <c r="K73" s="16">
        <f>9098/3</f>
        <v>3032.6666666666665</v>
      </c>
    </row>
    <row r="74" spans="1:14" x14ac:dyDescent="0.2">
      <c r="A74" s="16" t="s">
        <v>20</v>
      </c>
      <c r="B74" s="16">
        <v>141</v>
      </c>
      <c r="C74" s="16">
        <v>22303</v>
      </c>
      <c r="D74" s="16">
        <v>295190786</v>
      </c>
      <c r="E74" s="16">
        <f>13265/3</f>
        <v>4421.666666666667</v>
      </c>
      <c r="F74" s="16"/>
      <c r="G74" s="16" t="s">
        <v>20</v>
      </c>
      <c r="H74" s="16">
        <f>+B95+H95</f>
        <v>301</v>
      </c>
      <c r="I74" s="16">
        <f t="shared" si="0"/>
        <v>45127</v>
      </c>
      <c r="J74" s="16">
        <f t="shared" si="0"/>
        <v>422574216</v>
      </c>
      <c r="K74" s="16">
        <f>9528/3</f>
        <v>3176</v>
      </c>
    </row>
    <row r="75" spans="1:14" x14ac:dyDescent="0.2">
      <c r="A75" s="16" t="s">
        <v>21</v>
      </c>
      <c r="B75" s="16">
        <v>60</v>
      </c>
      <c r="C75" s="16">
        <v>21272</v>
      </c>
      <c r="D75" s="16">
        <v>361717134</v>
      </c>
      <c r="E75" s="16">
        <f>16981/3</f>
        <v>5660.333333333333</v>
      </c>
      <c r="F75" s="16"/>
      <c r="G75" s="16" t="s">
        <v>21</v>
      </c>
      <c r="H75" s="16">
        <f t="shared" ref="H75" si="1">+B96+H96</f>
        <v>64</v>
      </c>
      <c r="I75" s="16">
        <f t="shared" si="0"/>
        <v>21203</v>
      </c>
      <c r="J75" s="16">
        <f t="shared" si="0"/>
        <v>200228759</v>
      </c>
      <c r="K75" s="16">
        <f>9524/3</f>
        <v>3174.6666666666665</v>
      </c>
      <c r="M75" s="26"/>
      <c r="N75" s="26"/>
    </row>
    <row r="76" spans="1:14" x14ac:dyDescent="0.2">
      <c r="A76" s="16" t="s">
        <v>23</v>
      </c>
      <c r="B76" s="16">
        <v>17</v>
      </c>
      <c r="C76" s="16">
        <v>11751</v>
      </c>
      <c r="D76" s="16">
        <v>170231783</v>
      </c>
      <c r="E76" s="16">
        <f>14500/3</f>
        <v>4833.333333333333</v>
      </c>
      <c r="F76" s="16"/>
      <c r="G76" s="16" t="s">
        <v>23</v>
      </c>
      <c r="H76" s="16">
        <v>5</v>
      </c>
      <c r="I76" s="16">
        <v>3884</v>
      </c>
      <c r="J76" s="16">
        <v>58168046</v>
      </c>
      <c r="K76" s="16">
        <f>15228/3</f>
        <v>5076</v>
      </c>
      <c r="M76" s="26"/>
      <c r="N76" s="26"/>
    </row>
    <row r="77" spans="1:14" x14ac:dyDescent="0.2">
      <c r="A77" s="16" t="s">
        <v>24</v>
      </c>
      <c r="B77" s="16">
        <v>13</v>
      </c>
      <c r="C77" s="16">
        <v>20769</v>
      </c>
      <c r="D77" s="16">
        <v>314588637</v>
      </c>
      <c r="E77" s="16">
        <f>15233/3</f>
        <v>5077.666666666667</v>
      </c>
      <c r="F77" s="16"/>
      <c r="G77" s="16" t="s">
        <v>24</v>
      </c>
      <c r="H77" s="16">
        <v>3</v>
      </c>
      <c r="I77" s="16">
        <v>4158</v>
      </c>
      <c r="J77" s="16">
        <v>52796972</v>
      </c>
      <c r="K77" s="16">
        <f>12644/3</f>
        <v>4214.666666666667</v>
      </c>
    </row>
    <row r="79" spans="1:14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4" x14ac:dyDescent="0.2">
      <c r="A80" s="7" t="s">
        <v>32</v>
      </c>
      <c r="B80" s="7"/>
      <c r="C80" s="7"/>
      <c r="D80" s="7"/>
      <c r="E80" s="7"/>
      <c r="F80" s="6"/>
      <c r="G80" s="7" t="s">
        <v>33</v>
      </c>
      <c r="H80" s="7"/>
      <c r="I80" s="7"/>
      <c r="J80" s="7"/>
      <c r="K80" s="7"/>
    </row>
    <row r="82" spans="1:11" x14ac:dyDescent="0.2">
      <c r="A82" s="8"/>
      <c r="B82" s="8"/>
      <c r="C82" s="8"/>
      <c r="D82" s="8" t="s">
        <v>2</v>
      </c>
      <c r="E82" s="8" t="s">
        <v>3</v>
      </c>
      <c r="G82" s="8"/>
      <c r="H82" s="8"/>
      <c r="I82" s="8"/>
      <c r="J82" s="8" t="s">
        <v>2</v>
      </c>
      <c r="K82" s="8" t="s">
        <v>3</v>
      </c>
    </row>
    <row r="83" spans="1:11" x14ac:dyDescent="0.2">
      <c r="A83" s="9" t="s">
        <v>4</v>
      </c>
      <c r="B83" s="8" t="s">
        <v>5</v>
      </c>
      <c r="C83" s="8" t="s">
        <v>6</v>
      </c>
      <c r="D83" s="8" t="s">
        <v>7</v>
      </c>
      <c r="E83" s="8" t="s">
        <v>8</v>
      </c>
      <c r="G83" s="9" t="s">
        <v>4</v>
      </c>
      <c r="H83" s="8" t="s">
        <v>5</v>
      </c>
      <c r="I83" s="8" t="s">
        <v>6</v>
      </c>
      <c r="J83" s="8" t="s">
        <v>7</v>
      </c>
      <c r="K83" s="8" t="s">
        <v>8</v>
      </c>
    </row>
    <row r="84" spans="1:11" x14ac:dyDescent="0.2">
      <c r="A84" s="9" t="s">
        <v>9</v>
      </c>
      <c r="B84" s="8" t="s">
        <v>10</v>
      </c>
      <c r="C84" s="8" t="s">
        <v>11</v>
      </c>
      <c r="D84" s="8" t="s">
        <v>12</v>
      </c>
      <c r="E84" s="8" t="s">
        <v>13</v>
      </c>
      <c r="G84" s="9" t="s">
        <v>9</v>
      </c>
      <c r="H84" s="8" t="s">
        <v>10</v>
      </c>
      <c r="I84" s="8" t="s">
        <v>11</v>
      </c>
      <c r="J84" s="8" t="s">
        <v>12</v>
      </c>
      <c r="K84" s="8" t="s">
        <v>13</v>
      </c>
    </row>
    <row r="87" spans="1:11" x14ac:dyDescent="0.2">
      <c r="A87" s="10" t="s">
        <v>27</v>
      </c>
      <c r="B87" s="10">
        <f>SUM(B89:B97)</f>
        <v>5798</v>
      </c>
      <c r="C87" s="10">
        <f>SUM(C89:C97)</f>
        <v>49618</v>
      </c>
      <c r="D87" s="11">
        <f>SUM(D89:D97)</f>
        <v>795390477</v>
      </c>
      <c r="E87" s="12">
        <f>16072/3</f>
        <v>5357.333333333333</v>
      </c>
      <c r="F87" s="10"/>
      <c r="G87" s="10" t="s">
        <v>27</v>
      </c>
      <c r="H87" s="10">
        <f>SUM(H89:H97)</f>
        <v>9730</v>
      </c>
      <c r="I87" s="10">
        <f>SUM(I89:I97)</f>
        <v>161484</v>
      </c>
      <c r="J87" s="11">
        <f>SUM(J89:J97)</f>
        <v>1217397039</v>
      </c>
      <c r="K87" s="11">
        <f>7596/3</f>
        <v>2532</v>
      </c>
    </row>
    <row r="88" spans="1:11" x14ac:dyDescent="0.2">
      <c r="A88" s="2" t="s">
        <v>28</v>
      </c>
      <c r="G88" s="2" t="s">
        <v>28</v>
      </c>
    </row>
    <row r="89" spans="1:11" x14ac:dyDescent="0.2">
      <c r="A89" s="16" t="s">
        <v>15</v>
      </c>
      <c r="B89" s="16">
        <v>632</v>
      </c>
      <c r="C89" s="16">
        <v>0</v>
      </c>
      <c r="D89" s="16">
        <v>3750782</v>
      </c>
      <c r="E89" s="16">
        <f>22282/3</f>
        <v>7427.333333333333</v>
      </c>
      <c r="F89" s="16"/>
      <c r="G89" s="16" t="s">
        <v>15</v>
      </c>
      <c r="H89" s="16">
        <v>906</v>
      </c>
      <c r="I89" s="16">
        <v>0</v>
      </c>
      <c r="J89" s="16">
        <v>2665458</v>
      </c>
      <c r="K89" s="16">
        <f>9872/3</f>
        <v>3290.6666666666665</v>
      </c>
    </row>
    <row r="90" spans="1:11" x14ac:dyDescent="0.2">
      <c r="A90" s="16" t="s">
        <v>16</v>
      </c>
      <c r="B90" s="16">
        <v>3229</v>
      </c>
      <c r="C90" s="16">
        <v>5605</v>
      </c>
      <c r="D90" s="16">
        <v>116740068</v>
      </c>
      <c r="E90" s="16">
        <f>21063/3</f>
        <v>7021</v>
      </c>
      <c r="F90" s="16"/>
      <c r="G90" s="16" t="s">
        <v>16</v>
      </c>
      <c r="H90" s="16">
        <v>3034</v>
      </c>
      <c r="I90" s="16">
        <v>6796</v>
      </c>
      <c r="J90" s="16">
        <v>51714076</v>
      </c>
      <c r="K90" s="16">
        <f>7647/3</f>
        <v>2549</v>
      </c>
    </row>
    <row r="91" spans="1:11" x14ac:dyDescent="0.2">
      <c r="A91" s="16" t="s">
        <v>17</v>
      </c>
      <c r="B91" s="16">
        <v>811</v>
      </c>
      <c r="C91" s="16">
        <v>5358</v>
      </c>
      <c r="D91" s="16">
        <v>89506473</v>
      </c>
      <c r="E91" s="16">
        <f>16631/3</f>
        <v>5543.666666666667</v>
      </c>
      <c r="F91" s="16"/>
      <c r="G91" s="16" t="s">
        <v>17</v>
      </c>
      <c r="H91" s="16">
        <v>2220</v>
      </c>
      <c r="I91" s="16">
        <v>15031</v>
      </c>
      <c r="J91" s="16">
        <v>92929869</v>
      </c>
      <c r="K91" s="16">
        <f>6226/3</f>
        <v>2075.3333333333335</v>
      </c>
    </row>
    <row r="92" spans="1:11" x14ac:dyDescent="0.2">
      <c r="A92" s="17" t="s">
        <v>56</v>
      </c>
      <c r="B92" s="16">
        <v>578</v>
      </c>
      <c r="C92" s="16">
        <v>7846</v>
      </c>
      <c r="D92" s="16">
        <v>118870133</v>
      </c>
      <c r="E92" s="16">
        <f>15280/3</f>
        <v>5093.333333333333</v>
      </c>
      <c r="F92" s="16"/>
      <c r="G92" s="17" t="s">
        <v>56</v>
      </c>
      <c r="H92" s="16">
        <v>1946</v>
      </c>
      <c r="I92" s="16">
        <v>26257</v>
      </c>
      <c r="J92" s="16">
        <v>164350712</v>
      </c>
      <c r="K92" s="16">
        <f>6305/3</f>
        <v>2101.6666666666665</v>
      </c>
    </row>
    <row r="93" spans="1:11" x14ac:dyDescent="0.2">
      <c r="A93" s="16" t="s">
        <v>18</v>
      </c>
      <c r="B93" s="16">
        <v>384</v>
      </c>
      <c r="C93" s="16">
        <v>11459</v>
      </c>
      <c r="D93" s="16">
        <v>183621808</v>
      </c>
      <c r="E93" s="16">
        <f>16117/3</f>
        <v>5372.333333333333</v>
      </c>
      <c r="F93" s="16"/>
      <c r="G93" s="16" t="s">
        <v>18</v>
      </c>
      <c r="H93" s="16">
        <v>983</v>
      </c>
      <c r="I93" s="16">
        <v>28762</v>
      </c>
      <c r="J93" s="16">
        <v>186820691</v>
      </c>
      <c r="K93" s="16">
        <f>6526/3</f>
        <v>2175.3333333333335</v>
      </c>
    </row>
    <row r="94" spans="1:11" x14ac:dyDescent="0.2">
      <c r="A94" s="16" t="s">
        <v>19</v>
      </c>
      <c r="B94" s="16">
        <v>102</v>
      </c>
      <c r="C94" s="16">
        <v>6895</v>
      </c>
      <c r="D94" s="16">
        <v>101646740</v>
      </c>
      <c r="E94" s="16">
        <f>14849/3</f>
        <v>4949.666666666667</v>
      </c>
      <c r="F94" s="16"/>
      <c r="G94" s="16" t="s">
        <v>19</v>
      </c>
      <c r="H94" s="16">
        <v>330</v>
      </c>
      <c r="I94" s="16">
        <v>22721</v>
      </c>
      <c r="J94" s="16">
        <v>166402713</v>
      </c>
      <c r="K94" s="16">
        <f>7358/3</f>
        <v>2452.6666666666665</v>
      </c>
    </row>
    <row r="95" spans="1:11" x14ac:dyDescent="0.2">
      <c r="A95" s="16" t="s">
        <v>20</v>
      </c>
      <c r="B95" s="16">
        <v>49</v>
      </c>
      <c r="C95" s="16">
        <v>6862</v>
      </c>
      <c r="D95" s="16">
        <v>104716821</v>
      </c>
      <c r="E95" s="16">
        <f>15416/3</f>
        <v>5138.666666666667</v>
      </c>
      <c r="F95" s="16"/>
      <c r="G95" s="16" t="s">
        <v>20</v>
      </c>
      <c r="H95" s="16">
        <v>252</v>
      </c>
      <c r="I95" s="16">
        <v>38265</v>
      </c>
      <c r="J95" s="16">
        <v>317857395</v>
      </c>
      <c r="K95" s="16">
        <f>8463/3</f>
        <v>2821</v>
      </c>
    </row>
    <row r="96" spans="1:11" x14ac:dyDescent="0.2">
      <c r="A96" s="16" t="s">
        <v>21</v>
      </c>
      <c r="B96" s="16">
        <v>10</v>
      </c>
      <c r="C96" s="16">
        <v>3638</v>
      </c>
      <c r="D96" s="16">
        <v>43571267</v>
      </c>
      <c r="E96" s="16">
        <f>12001/3</f>
        <v>4000.3333333333335</v>
      </c>
      <c r="F96" s="16"/>
      <c r="G96" s="16" t="s">
        <v>21</v>
      </c>
      <c r="H96" s="16">
        <v>54</v>
      </c>
      <c r="I96" s="16">
        <v>17565</v>
      </c>
      <c r="J96" s="16">
        <v>156657492</v>
      </c>
      <c r="K96" s="18">
        <f>9007/3</f>
        <v>3002.3333333333335</v>
      </c>
    </row>
    <row r="97" spans="1:11" x14ac:dyDescent="0.2">
      <c r="A97" s="16" t="s">
        <v>31</v>
      </c>
      <c r="B97" s="16">
        <v>3</v>
      </c>
      <c r="C97" s="16">
        <v>1955</v>
      </c>
      <c r="D97" s="16">
        <v>32966385</v>
      </c>
      <c r="E97" s="16">
        <f>16860/3</f>
        <v>5620</v>
      </c>
      <c r="F97" s="16"/>
      <c r="G97" s="16" t="s">
        <v>31</v>
      </c>
      <c r="H97" s="16">
        <v>5</v>
      </c>
      <c r="I97" s="16">
        <f>1929+4158</f>
        <v>6087</v>
      </c>
      <c r="J97" s="16">
        <f>25201661+52796972</f>
        <v>77998633</v>
      </c>
      <c r="K97" s="18">
        <f>(25201661+52796972)/(1773+4126+1891+4243+1929+4158)</f>
        <v>4304.5603200883006</v>
      </c>
    </row>
    <row r="98" spans="1:11" x14ac:dyDescent="0.2">
      <c r="A98" s="20" t="s">
        <v>62</v>
      </c>
      <c r="B98" s="21"/>
      <c r="C98" s="21"/>
      <c r="D98" s="21"/>
      <c r="E98" s="21"/>
      <c r="F98" s="21"/>
      <c r="G98" s="21"/>
      <c r="H98" s="21"/>
      <c r="I98" s="2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x14ac:dyDescent="0.2">
      <c r="A100" s="3" t="s">
        <v>63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7" t="s">
        <v>34</v>
      </c>
      <c r="B105" s="7"/>
      <c r="C105" s="7"/>
      <c r="D105" s="7"/>
      <c r="E105" s="7"/>
      <c r="F105" s="6"/>
      <c r="G105" s="7" t="s">
        <v>35</v>
      </c>
      <c r="H105" s="7"/>
      <c r="I105" s="7"/>
      <c r="J105" s="7"/>
      <c r="K105" s="7"/>
    </row>
    <row r="107" spans="1:11" x14ac:dyDescent="0.2">
      <c r="A107" s="8"/>
      <c r="B107" s="8"/>
      <c r="C107" s="8"/>
      <c r="D107" s="8" t="s">
        <v>2</v>
      </c>
      <c r="E107" s="8" t="s">
        <v>3</v>
      </c>
      <c r="G107" s="8"/>
      <c r="H107" s="8"/>
      <c r="I107" s="8"/>
      <c r="J107" s="8" t="s">
        <v>2</v>
      </c>
      <c r="K107" s="8" t="s">
        <v>3</v>
      </c>
    </row>
    <row r="108" spans="1:11" x14ac:dyDescent="0.2">
      <c r="A108" s="9" t="s">
        <v>4</v>
      </c>
      <c r="B108" s="8" t="s">
        <v>5</v>
      </c>
      <c r="C108" s="8" t="s">
        <v>6</v>
      </c>
      <c r="D108" s="8" t="s">
        <v>7</v>
      </c>
      <c r="E108" s="8" t="s">
        <v>8</v>
      </c>
      <c r="G108" s="9" t="s">
        <v>4</v>
      </c>
      <c r="H108" s="8" t="s">
        <v>5</v>
      </c>
      <c r="I108" s="8" t="s">
        <v>6</v>
      </c>
      <c r="J108" s="8" t="s">
        <v>7</v>
      </c>
      <c r="K108" s="8" t="s">
        <v>8</v>
      </c>
    </row>
    <row r="109" spans="1:11" x14ac:dyDescent="0.2">
      <c r="A109" s="9" t="s">
        <v>9</v>
      </c>
      <c r="B109" s="8" t="s">
        <v>10</v>
      </c>
      <c r="C109" s="8" t="s">
        <v>11</v>
      </c>
      <c r="D109" s="8" t="s">
        <v>12</v>
      </c>
      <c r="E109" s="8" t="s">
        <v>13</v>
      </c>
      <c r="G109" s="9" t="s">
        <v>9</v>
      </c>
      <c r="H109" s="8" t="s">
        <v>10</v>
      </c>
      <c r="I109" s="8" t="s">
        <v>11</v>
      </c>
      <c r="J109" s="8" t="s">
        <v>12</v>
      </c>
      <c r="K109" s="8" t="s">
        <v>13</v>
      </c>
    </row>
    <row r="112" spans="1:11" x14ac:dyDescent="0.2">
      <c r="A112" s="13" t="s">
        <v>27</v>
      </c>
      <c r="B112" s="13">
        <f>SUM(B114:B123)</f>
        <v>2574</v>
      </c>
      <c r="C112" s="13">
        <f>SUM(C114:C123)</f>
        <v>52281</v>
      </c>
      <c r="D112" s="14">
        <f>SUM(D114:D123)</f>
        <v>642244598</v>
      </c>
      <c r="E112" s="15">
        <f>12309/3</f>
        <v>4103</v>
      </c>
      <c r="F112" s="13"/>
      <c r="G112" s="13" t="s">
        <v>27</v>
      </c>
      <c r="H112" s="13">
        <f>SUM(H114:H123)</f>
        <v>2189</v>
      </c>
      <c r="I112" s="13">
        <f>SUM(I114:I123)</f>
        <v>36236</v>
      </c>
      <c r="J112" s="14">
        <f>SUM(J114:J123)</f>
        <v>665163724</v>
      </c>
      <c r="K112" s="14">
        <f>18372/3</f>
        <v>6124</v>
      </c>
    </row>
    <row r="113" spans="1:11" x14ac:dyDescent="0.2">
      <c r="A113" s="16" t="s">
        <v>28</v>
      </c>
      <c r="B113" s="16"/>
      <c r="C113" s="16"/>
      <c r="D113" s="16"/>
      <c r="E113" s="16"/>
      <c r="F113" s="16"/>
      <c r="G113" s="16" t="s">
        <v>28</v>
      </c>
      <c r="H113" s="16"/>
      <c r="I113" s="16"/>
      <c r="J113" s="16"/>
      <c r="K113" s="16"/>
    </row>
    <row r="114" spans="1:11" x14ac:dyDescent="0.2">
      <c r="A114" s="16" t="s">
        <v>15</v>
      </c>
      <c r="B114" s="16">
        <v>339</v>
      </c>
      <c r="C114" s="16">
        <v>0</v>
      </c>
      <c r="D114" s="16">
        <v>821625</v>
      </c>
      <c r="E114" s="16">
        <f>8244/3</f>
        <v>2748</v>
      </c>
      <c r="F114" s="16"/>
      <c r="G114" s="16" t="s">
        <v>15</v>
      </c>
      <c r="H114" s="16">
        <v>339</v>
      </c>
      <c r="I114" s="16">
        <v>0</v>
      </c>
      <c r="J114" s="16">
        <v>4240828</v>
      </c>
      <c r="K114" s="16">
        <f>16064/3</f>
        <v>5354.666666666667</v>
      </c>
    </row>
    <row r="115" spans="1:11" x14ac:dyDescent="0.2">
      <c r="A115" s="16" t="s">
        <v>16</v>
      </c>
      <c r="B115" s="16">
        <v>1230</v>
      </c>
      <c r="C115" s="16">
        <v>2253</v>
      </c>
      <c r="D115" s="16">
        <v>20739529</v>
      </c>
      <c r="E115" s="16">
        <f>9406/3</f>
        <v>3135.3333333333335</v>
      </c>
      <c r="F115" s="16"/>
      <c r="G115" s="16" t="s">
        <v>16</v>
      </c>
      <c r="H115" s="16">
        <v>1102</v>
      </c>
      <c r="I115" s="16">
        <v>1813</v>
      </c>
      <c r="J115" s="16">
        <v>33552675</v>
      </c>
      <c r="K115" s="16">
        <f>18182/3</f>
        <v>6060.666666666667</v>
      </c>
    </row>
    <row r="116" spans="1:11" x14ac:dyDescent="0.2">
      <c r="A116" s="16" t="s">
        <v>17</v>
      </c>
      <c r="B116" s="16">
        <v>364</v>
      </c>
      <c r="C116" s="16">
        <v>2368</v>
      </c>
      <c r="D116" s="16">
        <v>22963187</v>
      </c>
      <c r="E116" s="16">
        <f>9782/3</f>
        <v>3260.6666666666665</v>
      </c>
      <c r="F116" s="16"/>
      <c r="G116" s="16" t="s">
        <v>17</v>
      </c>
      <c r="H116" s="16">
        <v>246</v>
      </c>
      <c r="I116" s="16">
        <v>1643</v>
      </c>
      <c r="J116" s="16">
        <v>26390854</v>
      </c>
      <c r="K116" s="16">
        <f>16184/3</f>
        <v>5394.666666666667</v>
      </c>
    </row>
    <row r="117" spans="1:11" x14ac:dyDescent="0.2">
      <c r="A117" s="17" t="s">
        <v>56</v>
      </c>
      <c r="B117" s="16">
        <v>271</v>
      </c>
      <c r="C117" s="16">
        <v>3729</v>
      </c>
      <c r="D117" s="16">
        <v>39061406</v>
      </c>
      <c r="E117" s="16">
        <f>10605/3</f>
        <v>3535</v>
      </c>
      <c r="F117" s="16"/>
      <c r="G117" s="17" t="s">
        <v>56</v>
      </c>
      <c r="H117" s="16">
        <v>175</v>
      </c>
      <c r="I117" s="16">
        <v>2402</v>
      </c>
      <c r="J117" s="16">
        <v>33889627</v>
      </c>
      <c r="K117" s="16">
        <f>14166/3</f>
        <v>4722</v>
      </c>
    </row>
    <row r="118" spans="1:11" x14ac:dyDescent="0.2">
      <c r="A118" s="16" t="s">
        <v>18</v>
      </c>
      <c r="B118" s="16">
        <v>208</v>
      </c>
      <c r="C118" s="16">
        <v>6286</v>
      </c>
      <c r="D118" s="16">
        <v>66256909</v>
      </c>
      <c r="E118" s="16">
        <f>10587/3</f>
        <v>3529</v>
      </c>
      <c r="F118" s="16"/>
      <c r="G118" s="16" t="s">
        <v>18</v>
      </c>
      <c r="H118" s="16">
        <v>190</v>
      </c>
      <c r="I118" s="16">
        <v>5978</v>
      </c>
      <c r="J118" s="16">
        <v>82582684</v>
      </c>
      <c r="K118" s="16">
        <f>13871/3</f>
        <v>4623.666666666667</v>
      </c>
    </row>
    <row r="119" spans="1:11" x14ac:dyDescent="0.2">
      <c r="A119" s="16" t="s">
        <v>19</v>
      </c>
      <c r="B119" s="16">
        <v>72</v>
      </c>
      <c r="C119" s="16">
        <v>5023</v>
      </c>
      <c r="D119" s="16">
        <v>49883907</v>
      </c>
      <c r="E119" s="16">
        <f>9871/3</f>
        <v>3290.3333333333335</v>
      </c>
      <c r="F119" s="16"/>
      <c r="G119" s="16" t="s">
        <v>19</v>
      </c>
      <c r="H119" s="16">
        <v>68</v>
      </c>
      <c r="I119" s="16">
        <v>4865</v>
      </c>
      <c r="J119" s="16">
        <v>72246203</v>
      </c>
      <c r="K119" s="16">
        <f>14794/3</f>
        <v>4931.333333333333</v>
      </c>
    </row>
    <row r="120" spans="1:11" x14ac:dyDescent="0.2">
      <c r="A120" s="16" t="s">
        <v>20</v>
      </c>
      <c r="B120" s="16">
        <v>57</v>
      </c>
      <c r="C120" s="16">
        <v>8943</v>
      </c>
      <c r="D120" s="16">
        <v>100221855</v>
      </c>
      <c r="E120" s="16">
        <f>11288/3</f>
        <v>3762.6666666666665</v>
      </c>
      <c r="F120" s="16"/>
      <c r="G120" s="16" t="s">
        <v>20</v>
      </c>
      <c r="H120" s="16">
        <v>50</v>
      </c>
      <c r="I120" s="16">
        <v>7643</v>
      </c>
      <c r="J120" s="16">
        <v>141266630</v>
      </c>
      <c r="K120" s="16">
        <f>19058/3</f>
        <v>6352.666666666667</v>
      </c>
    </row>
    <row r="121" spans="1:11" x14ac:dyDescent="0.2">
      <c r="A121" s="16" t="s">
        <v>21</v>
      </c>
      <c r="B121" s="16">
        <v>18</v>
      </c>
      <c r="C121" s="16">
        <v>6370</v>
      </c>
      <c r="D121" s="16">
        <v>63198164</v>
      </c>
      <c r="E121" s="16">
        <f>9819/3</f>
        <v>3273</v>
      </c>
      <c r="F121" s="16"/>
      <c r="G121" s="16" t="s">
        <v>21</v>
      </c>
      <c r="H121" s="16">
        <v>7</v>
      </c>
      <c r="I121" s="16">
        <v>2587</v>
      </c>
      <c r="J121" s="16">
        <v>43436237</v>
      </c>
      <c r="K121" s="16">
        <f>16822/3</f>
        <v>5607.333333333333</v>
      </c>
    </row>
    <row r="122" spans="1:11" x14ac:dyDescent="0.2">
      <c r="A122" s="16" t="s">
        <v>23</v>
      </c>
      <c r="B122" s="16">
        <v>11</v>
      </c>
      <c r="C122" s="16">
        <v>7368</v>
      </c>
      <c r="D122" s="16">
        <v>94703413</v>
      </c>
      <c r="E122" s="16">
        <f>13031/3</f>
        <v>4343.666666666667</v>
      </c>
      <c r="F122" s="16"/>
      <c r="G122" s="16" t="s">
        <v>23</v>
      </c>
      <c r="H122" s="16">
        <v>9</v>
      </c>
      <c r="I122" s="16">
        <v>5884</v>
      </c>
      <c r="J122" s="16">
        <v>118066685</v>
      </c>
      <c r="K122" s="18">
        <f>20269/3</f>
        <v>6756.333333333333</v>
      </c>
    </row>
    <row r="123" spans="1:11" x14ac:dyDescent="0.2">
      <c r="A123" s="16" t="s">
        <v>24</v>
      </c>
      <c r="B123" s="16">
        <v>4</v>
      </c>
      <c r="C123" s="16">
        <v>9941</v>
      </c>
      <c r="D123" s="16">
        <v>184394603</v>
      </c>
      <c r="E123" s="16">
        <f>18539/3</f>
        <v>6179.666666666667</v>
      </c>
      <c r="F123" s="16"/>
      <c r="G123" s="16" t="s">
        <v>24</v>
      </c>
      <c r="H123" s="16">
        <v>3</v>
      </c>
      <c r="I123" s="16">
        <v>3421</v>
      </c>
      <c r="J123" s="16">
        <v>109491301</v>
      </c>
      <c r="K123" s="16">
        <f>32068/3</f>
        <v>10689.333333333334</v>
      </c>
    </row>
    <row r="125" spans="1:1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2">
      <c r="A126" s="7" t="s">
        <v>36</v>
      </c>
      <c r="B126" s="7"/>
      <c r="C126" s="7"/>
      <c r="D126" s="7"/>
      <c r="E126" s="7"/>
      <c r="F126" s="6"/>
      <c r="G126" s="7" t="s">
        <v>37</v>
      </c>
      <c r="H126" s="7"/>
      <c r="I126" s="7"/>
      <c r="J126" s="7"/>
      <c r="K126" s="7"/>
    </row>
    <row r="128" spans="1:11" x14ac:dyDescent="0.2">
      <c r="A128" s="8"/>
      <c r="B128" s="8"/>
      <c r="C128" s="8"/>
      <c r="D128" s="8" t="s">
        <v>2</v>
      </c>
      <c r="E128" s="8" t="s">
        <v>3</v>
      </c>
      <c r="G128" s="8"/>
      <c r="H128" s="8"/>
      <c r="I128" s="8"/>
      <c r="J128" s="8" t="s">
        <v>2</v>
      </c>
      <c r="K128" s="8" t="s">
        <v>3</v>
      </c>
    </row>
    <row r="129" spans="1:11" x14ac:dyDescent="0.2">
      <c r="A129" s="9" t="s">
        <v>4</v>
      </c>
      <c r="B129" s="8" t="s">
        <v>5</v>
      </c>
      <c r="C129" s="8" t="s">
        <v>6</v>
      </c>
      <c r="D129" s="8" t="s">
        <v>7</v>
      </c>
      <c r="E129" s="8" t="s">
        <v>8</v>
      </c>
      <c r="G129" s="9" t="s">
        <v>4</v>
      </c>
      <c r="H129" s="8" t="s">
        <v>5</v>
      </c>
      <c r="I129" s="8" t="s">
        <v>6</v>
      </c>
      <c r="J129" s="8" t="s">
        <v>7</v>
      </c>
      <c r="K129" s="8" t="s">
        <v>8</v>
      </c>
    </row>
    <row r="130" spans="1:11" x14ac:dyDescent="0.2">
      <c r="A130" s="9" t="s">
        <v>9</v>
      </c>
      <c r="B130" s="8" t="s">
        <v>10</v>
      </c>
      <c r="C130" s="8" t="s">
        <v>11</v>
      </c>
      <c r="D130" s="8" t="s">
        <v>12</v>
      </c>
      <c r="E130" s="8" t="s">
        <v>13</v>
      </c>
      <c r="G130" s="9" t="s">
        <v>9</v>
      </c>
      <c r="H130" s="8" t="s">
        <v>10</v>
      </c>
      <c r="I130" s="8" t="s">
        <v>11</v>
      </c>
      <c r="J130" s="8" t="s">
        <v>12</v>
      </c>
      <c r="K130" s="8" t="s">
        <v>13</v>
      </c>
    </row>
    <row r="133" spans="1:11" x14ac:dyDescent="0.2">
      <c r="A133" s="13" t="s">
        <v>27</v>
      </c>
      <c r="B133" s="13">
        <f>SUM(B135:B144)</f>
        <v>5590</v>
      </c>
      <c r="C133" s="13">
        <f>SUM(C135:C144)</f>
        <v>61648</v>
      </c>
      <c r="D133" s="14">
        <f>SUM(D135:D144)</f>
        <v>1080044388</v>
      </c>
      <c r="E133" s="14">
        <f>17589/3</f>
        <v>5863</v>
      </c>
      <c r="F133" s="13"/>
      <c r="G133" s="13" t="s">
        <v>27</v>
      </c>
      <c r="H133" s="13">
        <f>SUM(H135:H141)</f>
        <v>4934</v>
      </c>
      <c r="I133" s="13">
        <f>SUM(I135:I141)</f>
        <v>18752</v>
      </c>
      <c r="J133" s="14">
        <f>SUM(J135:J141)</f>
        <v>204987898</v>
      </c>
      <c r="K133" s="14">
        <f>10921/3</f>
        <v>3640.3333333333335</v>
      </c>
    </row>
    <row r="134" spans="1:11" x14ac:dyDescent="0.2">
      <c r="A134" s="16" t="s">
        <v>28</v>
      </c>
      <c r="B134" s="16"/>
      <c r="C134" s="16"/>
      <c r="D134" s="16"/>
      <c r="E134" s="16"/>
      <c r="F134" s="16"/>
      <c r="G134" s="16" t="s">
        <v>28</v>
      </c>
      <c r="H134" s="16"/>
      <c r="I134" s="16"/>
      <c r="J134" s="16"/>
      <c r="K134" s="16"/>
    </row>
    <row r="135" spans="1:11" x14ac:dyDescent="0.2">
      <c r="A135" s="16" t="s">
        <v>15</v>
      </c>
      <c r="B135" s="16">
        <v>568</v>
      </c>
      <c r="C135" s="16">
        <v>0</v>
      </c>
      <c r="D135" s="16">
        <v>3343188</v>
      </c>
      <c r="E135" s="16">
        <f>20303/3</f>
        <v>6767.666666666667</v>
      </c>
      <c r="F135" s="16"/>
      <c r="G135" s="16" t="s">
        <v>15</v>
      </c>
      <c r="H135" s="16">
        <v>893</v>
      </c>
      <c r="I135" s="16">
        <v>0</v>
      </c>
      <c r="J135" s="16">
        <v>2191828</v>
      </c>
      <c r="K135" s="16">
        <f>13365/3</f>
        <v>4455</v>
      </c>
    </row>
    <row r="136" spans="1:11" x14ac:dyDescent="0.2">
      <c r="A136" s="16" t="s">
        <v>16</v>
      </c>
      <c r="B136" s="16">
        <v>3103</v>
      </c>
      <c r="C136" s="16">
        <v>5906</v>
      </c>
      <c r="D136" s="16">
        <v>90093198</v>
      </c>
      <c r="E136" s="16">
        <f>15413/3</f>
        <v>5137.666666666667</v>
      </c>
      <c r="F136" s="16"/>
      <c r="G136" s="16" t="s">
        <v>16</v>
      </c>
      <c r="H136" s="16">
        <v>3146</v>
      </c>
      <c r="I136" s="16">
        <v>5265</v>
      </c>
      <c r="J136" s="16">
        <v>52965365</v>
      </c>
      <c r="K136" s="16">
        <f>10228/3</f>
        <v>3409.3333333333335</v>
      </c>
    </row>
    <row r="137" spans="1:11" x14ac:dyDescent="0.2">
      <c r="A137" s="16" t="s">
        <v>17</v>
      </c>
      <c r="B137" s="16">
        <v>996</v>
      </c>
      <c r="C137" s="16">
        <v>6515</v>
      </c>
      <c r="D137" s="16">
        <v>82952774</v>
      </c>
      <c r="E137" s="16">
        <f>12813/3</f>
        <v>4271</v>
      </c>
      <c r="F137" s="16"/>
      <c r="G137" s="16" t="s">
        <v>17</v>
      </c>
      <c r="H137" s="16">
        <v>527</v>
      </c>
      <c r="I137" s="16">
        <v>3403</v>
      </c>
      <c r="J137" s="16">
        <v>36565181</v>
      </c>
      <c r="K137" s="16">
        <f>10836/3</f>
        <v>3612</v>
      </c>
    </row>
    <row r="138" spans="1:11" x14ac:dyDescent="0.2">
      <c r="A138" s="17" t="s">
        <v>56</v>
      </c>
      <c r="B138" s="16">
        <v>516</v>
      </c>
      <c r="C138" s="16">
        <v>6891</v>
      </c>
      <c r="D138" s="16">
        <v>101747990</v>
      </c>
      <c r="E138" s="16">
        <f>14785/3</f>
        <v>4928.333333333333</v>
      </c>
      <c r="F138" s="16"/>
      <c r="G138" s="17" t="s">
        <v>56</v>
      </c>
      <c r="H138" s="16">
        <v>230</v>
      </c>
      <c r="I138" s="16">
        <v>3102</v>
      </c>
      <c r="J138" s="16">
        <v>33537553</v>
      </c>
      <c r="K138" s="16">
        <f>10898/3</f>
        <v>3632.6666666666665</v>
      </c>
    </row>
    <row r="139" spans="1:11" x14ac:dyDescent="0.2">
      <c r="A139" s="16" t="s">
        <v>18</v>
      </c>
      <c r="B139" s="16">
        <v>242</v>
      </c>
      <c r="C139" s="16">
        <v>7058</v>
      </c>
      <c r="D139" s="16">
        <v>146181858</v>
      </c>
      <c r="E139" s="16">
        <f>20817/3</f>
        <v>6939</v>
      </c>
      <c r="F139" s="16"/>
      <c r="G139" s="16" t="s">
        <v>18</v>
      </c>
      <c r="H139" s="16">
        <v>92</v>
      </c>
      <c r="I139" s="16">
        <v>2625</v>
      </c>
      <c r="J139" s="16">
        <v>31443929</v>
      </c>
      <c r="K139" s="16">
        <f>12038/3</f>
        <v>4012.6666666666665</v>
      </c>
    </row>
    <row r="140" spans="1:11" x14ac:dyDescent="0.2">
      <c r="A140" s="16" t="s">
        <v>19</v>
      </c>
      <c r="B140" s="16">
        <v>87</v>
      </c>
      <c r="C140" s="16">
        <v>6132</v>
      </c>
      <c r="D140" s="16">
        <v>153115241</v>
      </c>
      <c r="E140" s="16">
        <f>25225/3</f>
        <v>8408.3333333333339</v>
      </c>
      <c r="F140" s="16"/>
      <c r="G140" s="16" t="s">
        <v>19</v>
      </c>
      <c r="H140" s="16">
        <v>32</v>
      </c>
      <c r="I140" s="16">
        <v>2064</v>
      </c>
      <c r="J140" s="16">
        <v>21930774</v>
      </c>
      <c r="K140" s="16">
        <f>10532/3</f>
        <v>3510.6666666666665</v>
      </c>
    </row>
    <row r="141" spans="1:11" x14ac:dyDescent="0.2">
      <c r="A141" s="16" t="s">
        <v>20</v>
      </c>
      <c r="B141" s="16">
        <v>47</v>
      </c>
      <c r="C141" s="16">
        <v>7238</v>
      </c>
      <c r="D141" s="16">
        <v>131591822</v>
      </c>
      <c r="E141" s="16">
        <f>18377/3</f>
        <v>6125.666666666667</v>
      </c>
      <c r="F141" s="16"/>
      <c r="G141" s="16" t="s">
        <v>38</v>
      </c>
      <c r="H141" s="16">
        <v>14</v>
      </c>
      <c r="I141" s="16">
        <f>1846+447</f>
        <v>2293</v>
      </c>
      <c r="J141" s="16">
        <f>21959547+4393721</f>
        <v>26353268</v>
      </c>
      <c r="K141" s="18">
        <f>(4393721+21959547)/(1836+433+1854+427+1846+447)</f>
        <v>3851.1278678941985</v>
      </c>
    </row>
    <row r="142" spans="1:11" x14ac:dyDescent="0.2">
      <c r="A142" s="16" t="s">
        <v>21</v>
      </c>
      <c r="B142" s="16">
        <v>18</v>
      </c>
      <c r="C142" s="16">
        <v>6435</v>
      </c>
      <c r="D142" s="16">
        <v>125535647</v>
      </c>
      <c r="E142" s="16">
        <f>19601/3</f>
        <v>6533.666666666667</v>
      </c>
      <c r="F142" s="16"/>
      <c r="G142" s="16"/>
      <c r="H142" s="16"/>
      <c r="I142" s="16"/>
      <c r="J142" s="16"/>
      <c r="K142" s="16"/>
    </row>
    <row r="143" spans="1:11" x14ac:dyDescent="0.2">
      <c r="A143" s="16" t="s">
        <v>23</v>
      </c>
      <c r="B143" s="16">
        <v>7</v>
      </c>
      <c r="C143" s="16">
        <v>4699</v>
      </c>
      <c r="D143" s="16">
        <v>71293030</v>
      </c>
      <c r="E143" s="16">
        <f>15149/3</f>
        <v>5049.666666666667</v>
      </c>
      <c r="F143" s="16"/>
      <c r="G143" s="16"/>
      <c r="H143" s="16"/>
      <c r="I143" s="16"/>
      <c r="J143" s="16"/>
      <c r="K143" s="16"/>
    </row>
    <row r="144" spans="1:11" x14ac:dyDescent="0.2">
      <c r="A144" s="16" t="s">
        <v>24</v>
      </c>
      <c r="B144" s="16">
        <v>6</v>
      </c>
      <c r="C144" s="16">
        <v>10774</v>
      </c>
      <c r="D144" s="16">
        <v>174189640</v>
      </c>
      <c r="E144" s="16">
        <f>16319/3</f>
        <v>5439.666666666667</v>
      </c>
      <c r="F144" s="16"/>
      <c r="G144" s="16"/>
      <c r="H144" s="16"/>
      <c r="I144" s="16"/>
      <c r="J144" s="16"/>
      <c r="K144" s="16"/>
    </row>
    <row r="146" spans="1:11" x14ac:dyDescent="0.2">
      <c r="A146" s="20" t="s">
        <v>62</v>
      </c>
      <c r="B146" s="21"/>
      <c r="C146" s="21"/>
      <c r="D146" s="21"/>
      <c r="E146" s="21"/>
      <c r="F146" s="21"/>
      <c r="G146" s="21"/>
      <c r="H146" s="21"/>
      <c r="I146" s="21"/>
    </row>
    <row r="148" spans="1:1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 x14ac:dyDescent="0.2">
      <c r="A149" s="3" t="s">
        <v>63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 x14ac:dyDescent="0.2">
      <c r="A154" s="7" t="s">
        <v>39</v>
      </c>
      <c r="B154" s="7"/>
      <c r="C154" s="7"/>
      <c r="D154" s="7"/>
      <c r="E154" s="7"/>
      <c r="F154" s="6"/>
      <c r="G154" s="7" t="s">
        <v>40</v>
      </c>
      <c r="H154" s="7"/>
      <c r="I154" s="7"/>
      <c r="J154" s="7"/>
      <c r="K154" s="7"/>
    </row>
    <row r="156" spans="1:11" x14ac:dyDescent="0.2">
      <c r="A156" s="8"/>
      <c r="B156" s="8"/>
      <c r="C156" s="8"/>
      <c r="D156" s="8" t="s">
        <v>2</v>
      </c>
      <c r="E156" s="8" t="s">
        <v>3</v>
      </c>
      <c r="G156" s="8"/>
      <c r="H156" s="8"/>
      <c r="I156" s="8"/>
      <c r="J156" s="8" t="s">
        <v>2</v>
      </c>
      <c r="K156" s="8" t="s">
        <v>3</v>
      </c>
    </row>
    <row r="157" spans="1:11" x14ac:dyDescent="0.2">
      <c r="A157" s="9" t="s">
        <v>4</v>
      </c>
      <c r="B157" s="8" t="s">
        <v>5</v>
      </c>
      <c r="C157" s="8" t="s">
        <v>6</v>
      </c>
      <c r="D157" s="8" t="s">
        <v>7</v>
      </c>
      <c r="E157" s="8" t="s">
        <v>8</v>
      </c>
      <c r="G157" s="9" t="s">
        <v>4</v>
      </c>
      <c r="H157" s="8" t="s">
        <v>5</v>
      </c>
      <c r="I157" s="8" t="s">
        <v>6</v>
      </c>
      <c r="J157" s="8" t="s">
        <v>7</v>
      </c>
      <c r="K157" s="8" t="s">
        <v>8</v>
      </c>
    </row>
    <row r="158" spans="1:11" x14ac:dyDescent="0.2">
      <c r="A158" s="9" t="s">
        <v>9</v>
      </c>
      <c r="B158" s="8" t="s">
        <v>10</v>
      </c>
      <c r="C158" s="8" t="s">
        <v>11</v>
      </c>
      <c r="D158" s="8" t="s">
        <v>12</v>
      </c>
      <c r="E158" s="8" t="s">
        <v>13</v>
      </c>
      <c r="G158" s="9" t="s">
        <v>9</v>
      </c>
      <c r="H158" s="8" t="s">
        <v>10</v>
      </c>
      <c r="I158" s="8" t="s">
        <v>11</v>
      </c>
      <c r="J158" s="8" t="s">
        <v>12</v>
      </c>
      <c r="K158" s="8" t="s">
        <v>13</v>
      </c>
    </row>
    <row r="161" spans="1:11" x14ac:dyDescent="0.2">
      <c r="A161" s="10" t="s">
        <v>27</v>
      </c>
      <c r="B161" s="10">
        <f>SUM(B163:B171)</f>
        <v>14042</v>
      </c>
      <c r="C161" s="10">
        <f>SUM(C163:C171)</f>
        <v>90466</v>
      </c>
      <c r="D161" s="10">
        <f>SUM(D163:D171)</f>
        <v>1449297772</v>
      </c>
      <c r="E161" s="11">
        <f>16096/3</f>
        <v>5365.333333333333</v>
      </c>
      <c r="F161" s="10"/>
      <c r="G161" s="13" t="s">
        <v>27</v>
      </c>
      <c r="H161" s="13">
        <f>SUM(H163:H172)</f>
        <v>748</v>
      </c>
      <c r="I161" s="13">
        <f>SUM(I163:I172)</f>
        <v>20338</v>
      </c>
      <c r="J161" s="14">
        <f>SUM(J163:J172)</f>
        <v>426275990</v>
      </c>
      <c r="K161" s="14">
        <f>21108/3</f>
        <v>7036</v>
      </c>
    </row>
    <row r="162" spans="1:11" x14ac:dyDescent="0.2">
      <c r="A162" s="2" t="s">
        <v>28</v>
      </c>
      <c r="G162" s="16" t="s">
        <v>28</v>
      </c>
      <c r="H162" s="16"/>
      <c r="I162" s="16"/>
      <c r="J162" s="16"/>
      <c r="K162" s="16"/>
    </row>
    <row r="163" spans="1:11" x14ac:dyDescent="0.2">
      <c r="A163" s="16" t="s">
        <v>15</v>
      </c>
      <c r="B163" s="16">
        <v>2613</v>
      </c>
      <c r="C163" s="16">
        <v>0</v>
      </c>
      <c r="D163" s="16">
        <v>12340945</v>
      </c>
      <c r="E163" s="16">
        <f>20409/3</f>
        <v>6803</v>
      </c>
      <c r="F163" s="16"/>
      <c r="G163" s="16" t="s">
        <v>15</v>
      </c>
      <c r="H163" s="16">
        <v>97</v>
      </c>
      <c r="I163" s="16">
        <v>0</v>
      </c>
      <c r="J163" s="16">
        <v>899868</v>
      </c>
      <c r="K163" s="16">
        <f>35060/3</f>
        <v>11686.666666666666</v>
      </c>
    </row>
    <row r="164" spans="1:11" x14ac:dyDescent="0.2">
      <c r="A164" s="16" t="s">
        <v>16</v>
      </c>
      <c r="B164" s="16">
        <v>8424</v>
      </c>
      <c r="C164" s="16">
        <v>13390</v>
      </c>
      <c r="D164" s="16">
        <v>193239330</v>
      </c>
      <c r="E164" s="16">
        <f>14827/3</f>
        <v>4942.333333333333</v>
      </c>
      <c r="F164" s="16"/>
      <c r="G164" s="16" t="s">
        <v>16</v>
      </c>
      <c r="H164" s="16">
        <v>365</v>
      </c>
      <c r="I164" s="16">
        <v>606</v>
      </c>
      <c r="J164" s="16">
        <v>13542855</v>
      </c>
      <c r="K164" s="16">
        <f>22915/3</f>
        <v>7638.333333333333</v>
      </c>
    </row>
    <row r="165" spans="1:11" x14ac:dyDescent="0.2">
      <c r="A165" s="16" t="s">
        <v>17</v>
      </c>
      <c r="B165" s="16">
        <v>1358</v>
      </c>
      <c r="C165" s="16">
        <v>8867</v>
      </c>
      <c r="D165" s="16">
        <v>119082417</v>
      </c>
      <c r="E165" s="16">
        <f>13687/3</f>
        <v>4562.333333333333</v>
      </c>
      <c r="F165" s="16"/>
      <c r="G165" s="16" t="s">
        <v>17</v>
      </c>
      <c r="H165" s="16">
        <v>72</v>
      </c>
      <c r="I165" s="16">
        <v>488</v>
      </c>
      <c r="J165" s="16">
        <v>9656538</v>
      </c>
      <c r="K165" s="16">
        <f>19829/3</f>
        <v>6609.666666666667</v>
      </c>
    </row>
    <row r="166" spans="1:11" x14ac:dyDescent="0.2">
      <c r="A166" s="17" t="s">
        <v>56</v>
      </c>
      <c r="B166" s="16">
        <v>825</v>
      </c>
      <c r="C166" s="16">
        <v>10938</v>
      </c>
      <c r="D166" s="16">
        <v>159706248</v>
      </c>
      <c r="E166" s="16">
        <f>17989/3</f>
        <v>5996.333333333333</v>
      </c>
      <c r="F166" s="16"/>
      <c r="G166" s="17" t="s">
        <v>56</v>
      </c>
      <c r="H166" s="16">
        <v>71</v>
      </c>
      <c r="I166" s="16">
        <v>991</v>
      </c>
      <c r="J166" s="16">
        <v>16658767</v>
      </c>
      <c r="K166" s="16">
        <f>16993/3</f>
        <v>5664.333333333333</v>
      </c>
    </row>
    <row r="167" spans="1:11" x14ac:dyDescent="0.2">
      <c r="A167" s="16" t="s">
        <v>18</v>
      </c>
      <c r="B167" s="16">
        <v>544</v>
      </c>
      <c r="C167" s="16">
        <v>16553</v>
      </c>
      <c r="D167" s="16">
        <v>264865405</v>
      </c>
      <c r="E167" s="16">
        <f>19189/3</f>
        <v>6396.333333333333</v>
      </c>
      <c r="F167" s="16"/>
      <c r="G167" s="16" t="s">
        <v>18</v>
      </c>
      <c r="H167" s="16">
        <v>68</v>
      </c>
      <c r="I167" s="16">
        <v>2147</v>
      </c>
      <c r="J167" s="16">
        <v>60013735</v>
      </c>
      <c r="K167" s="16">
        <f>27737/3</f>
        <v>9245.6666666666661</v>
      </c>
    </row>
    <row r="168" spans="1:11" x14ac:dyDescent="0.2">
      <c r="A168" s="16" t="s">
        <v>19</v>
      </c>
      <c r="B168" s="16">
        <v>150</v>
      </c>
      <c r="C168" s="16">
        <v>10448</v>
      </c>
      <c r="D168" s="16">
        <v>186131083</v>
      </c>
      <c r="E168" s="16">
        <f>17989/3</f>
        <v>5996.333333333333</v>
      </c>
      <c r="F168" s="16"/>
      <c r="G168" s="16" t="s">
        <v>19</v>
      </c>
      <c r="H168" s="16">
        <v>31</v>
      </c>
      <c r="I168" s="16">
        <v>2173</v>
      </c>
      <c r="J168" s="16">
        <v>45946460</v>
      </c>
      <c r="K168" s="16">
        <f>21561/3</f>
        <v>7187</v>
      </c>
    </row>
    <row r="169" spans="1:11" x14ac:dyDescent="0.2">
      <c r="A169" s="16" t="s">
        <v>20</v>
      </c>
      <c r="B169" s="16">
        <v>91</v>
      </c>
      <c r="C169" s="16">
        <v>13557</v>
      </c>
      <c r="D169" s="16">
        <v>259199534</v>
      </c>
      <c r="E169" s="16">
        <f>19189/3</f>
        <v>6396.333333333333</v>
      </c>
      <c r="F169" s="16"/>
      <c r="G169" s="16" t="s">
        <v>20</v>
      </c>
      <c r="H169" s="16">
        <v>28</v>
      </c>
      <c r="I169" s="16">
        <v>4295</v>
      </c>
      <c r="J169" s="16">
        <v>99916017</v>
      </c>
      <c r="K169" s="16">
        <f>23385/3</f>
        <v>7795</v>
      </c>
    </row>
    <row r="170" spans="1:11" x14ac:dyDescent="0.2">
      <c r="A170" s="16" t="s">
        <v>21</v>
      </c>
      <c r="B170" s="18">
        <v>26</v>
      </c>
      <c r="C170" s="16">
        <v>9025</v>
      </c>
      <c r="D170" s="16">
        <v>148903569</v>
      </c>
      <c r="E170" s="16">
        <f>16545/3</f>
        <v>5515</v>
      </c>
      <c r="F170" s="16"/>
      <c r="G170" s="16" t="s">
        <v>21</v>
      </c>
      <c r="H170" s="16">
        <v>9</v>
      </c>
      <c r="I170" s="16">
        <v>2906</v>
      </c>
      <c r="J170" s="16">
        <v>71143407</v>
      </c>
      <c r="K170" s="16">
        <f>24957/3</f>
        <v>8319</v>
      </c>
    </row>
    <row r="171" spans="1:11" x14ac:dyDescent="0.2">
      <c r="A171" s="16" t="s">
        <v>31</v>
      </c>
      <c r="B171" s="16">
        <v>11</v>
      </c>
      <c r="C171" s="16">
        <f>5408+2280</f>
        <v>7688</v>
      </c>
      <c r="D171" s="16">
        <f>89408185+16421056</f>
        <v>105829241</v>
      </c>
      <c r="E171" s="16">
        <f>(89408185+16421056)/(5459+2308+5448+2284+5408+2280)</f>
        <v>4564.1627204899296</v>
      </c>
      <c r="F171" s="16"/>
      <c r="G171" s="16" t="s">
        <v>31</v>
      </c>
      <c r="H171" s="16">
        <f>5+2</f>
        <v>7</v>
      </c>
      <c r="I171" s="16">
        <f>3326+3406</f>
        <v>6732</v>
      </c>
      <c r="J171" s="16">
        <f>75741449+32756894</f>
        <v>108498343</v>
      </c>
      <c r="K171" s="18">
        <f>(75741499+32756894)/(3272+3371+3315+3389+3326+3406)</f>
        <v>5403.5755266696551</v>
      </c>
    </row>
    <row r="174" spans="1:1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 x14ac:dyDescent="0.2">
      <c r="A175" s="7" t="s">
        <v>41</v>
      </c>
      <c r="B175" s="7"/>
      <c r="C175" s="7"/>
      <c r="D175" s="7"/>
      <c r="E175" s="7"/>
      <c r="F175" s="7"/>
      <c r="G175" s="7" t="s">
        <v>60</v>
      </c>
      <c r="H175" s="7"/>
      <c r="I175" s="7"/>
      <c r="J175" s="7"/>
      <c r="K175" s="7"/>
    </row>
    <row r="177" spans="1:11" x14ac:dyDescent="0.2">
      <c r="A177" s="8"/>
      <c r="B177" s="8"/>
      <c r="C177" s="8"/>
      <c r="D177" s="8" t="s">
        <v>2</v>
      </c>
      <c r="E177" s="8" t="s">
        <v>3</v>
      </c>
      <c r="G177" s="8"/>
      <c r="H177" s="8"/>
      <c r="I177" s="8"/>
      <c r="J177" s="8" t="s">
        <v>2</v>
      </c>
      <c r="K177" s="8" t="s">
        <v>3</v>
      </c>
    </row>
    <row r="178" spans="1:11" x14ac:dyDescent="0.2">
      <c r="A178" s="9" t="s">
        <v>4</v>
      </c>
      <c r="B178" s="8" t="s">
        <v>5</v>
      </c>
      <c r="C178" s="8" t="s">
        <v>6</v>
      </c>
      <c r="D178" s="8" t="s">
        <v>7</v>
      </c>
      <c r="E178" s="8" t="s">
        <v>8</v>
      </c>
      <c r="G178" s="9" t="s">
        <v>4</v>
      </c>
      <c r="H178" s="8" t="s">
        <v>5</v>
      </c>
      <c r="I178" s="8" t="s">
        <v>6</v>
      </c>
      <c r="J178" s="8" t="s">
        <v>7</v>
      </c>
      <c r="K178" s="8" t="s">
        <v>8</v>
      </c>
    </row>
    <row r="179" spans="1:11" x14ac:dyDescent="0.2">
      <c r="A179" s="9" t="s">
        <v>9</v>
      </c>
      <c r="B179" s="8" t="s">
        <v>10</v>
      </c>
      <c r="C179" s="8" t="s">
        <v>11</v>
      </c>
      <c r="D179" s="8" t="s">
        <v>12</v>
      </c>
      <c r="E179" s="8" t="s">
        <v>13</v>
      </c>
      <c r="G179" s="9" t="s">
        <v>9</v>
      </c>
      <c r="H179" s="8" t="s">
        <v>10</v>
      </c>
      <c r="I179" s="8" t="s">
        <v>11</v>
      </c>
      <c r="J179" s="8" t="s">
        <v>12</v>
      </c>
      <c r="K179" s="8" t="s">
        <v>13</v>
      </c>
    </row>
    <row r="182" spans="1:11" x14ac:dyDescent="0.2">
      <c r="A182" s="13" t="s">
        <v>27</v>
      </c>
      <c r="B182" s="13">
        <f>SUM(B184:B193)</f>
        <v>5530</v>
      </c>
      <c r="C182" s="13">
        <f>SUM(C184:C193)</f>
        <v>86367</v>
      </c>
      <c r="D182" s="14">
        <f>SUM(D184:D193)</f>
        <v>698662376</v>
      </c>
      <c r="E182" s="14">
        <f>8148/3</f>
        <v>2716</v>
      </c>
      <c r="F182" s="13"/>
      <c r="G182" s="13" t="s">
        <v>27</v>
      </c>
      <c r="H182" s="13">
        <f>SUM(H184:H193)</f>
        <v>1457</v>
      </c>
      <c r="I182" s="13">
        <f>SUM(I184:I193)</f>
        <v>46604</v>
      </c>
      <c r="J182" s="14">
        <f>SUM(J184:J193)</f>
        <v>326699522</v>
      </c>
      <c r="K182" s="14">
        <f>7072/3</f>
        <v>2357.3333333333335</v>
      </c>
    </row>
    <row r="183" spans="1:11" x14ac:dyDescent="0.2">
      <c r="A183" s="16" t="s">
        <v>28</v>
      </c>
      <c r="B183" s="16"/>
      <c r="C183" s="16"/>
      <c r="D183" s="16"/>
      <c r="E183" s="16"/>
      <c r="F183" s="16"/>
      <c r="G183" s="16" t="s">
        <v>28</v>
      </c>
      <c r="H183" s="16"/>
      <c r="I183" s="16"/>
      <c r="J183" s="16"/>
      <c r="K183" s="16"/>
    </row>
    <row r="184" spans="1:11" x14ac:dyDescent="0.2">
      <c r="A184" s="16" t="s">
        <v>15</v>
      </c>
      <c r="B184" s="16">
        <v>1104</v>
      </c>
      <c r="C184" s="16">
        <v>0</v>
      </c>
      <c r="D184" s="16">
        <v>3593271</v>
      </c>
      <c r="E184" s="16">
        <f>9481/3</f>
        <v>3160.3333333333335</v>
      </c>
      <c r="F184" s="16"/>
      <c r="G184" s="16" t="s">
        <v>15</v>
      </c>
      <c r="H184" s="16">
        <v>215</v>
      </c>
      <c r="I184" s="16">
        <v>0</v>
      </c>
      <c r="J184" s="16">
        <v>763458</v>
      </c>
      <c r="K184" s="16">
        <f>5427/3</f>
        <v>1809</v>
      </c>
    </row>
    <row r="185" spans="1:11" x14ac:dyDescent="0.2">
      <c r="A185" s="16" t="s">
        <v>16</v>
      </c>
      <c r="B185" s="16">
        <v>2533</v>
      </c>
      <c r="C185" s="16">
        <v>4696</v>
      </c>
      <c r="D185" s="16">
        <v>45401520</v>
      </c>
      <c r="E185" s="16">
        <f>9993/3</f>
        <v>3331</v>
      </c>
      <c r="F185" s="16"/>
      <c r="G185" s="16" t="s">
        <v>16</v>
      </c>
      <c r="H185" s="16">
        <v>575</v>
      </c>
      <c r="I185" s="16">
        <v>982</v>
      </c>
      <c r="J185" s="16">
        <v>9200076</v>
      </c>
      <c r="K185" s="16">
        <f>9429/3</f>
        <v>3143</v>
      </c>
    </row>
    <row r="186" spans="1:11" x14ac:dyDescent="0.2">
      <c r="A186" s="16" t="s">
        <v>17</v>
      </c>
      <c r="B186" s="16">
        <v>790</v>
      </c>
      <c r="C186" s="16">
        <v>5175</v>
      </c>
      <c r="D186" s="16">
        <v>44156144</v>
      </c>
      <c r="E186" s="16">
        <f>8990/3</f>
        <v>2996.6666666666665</v>
      </c>
      <c r="F186" s="16"/>
      <c r="G186" s="16" t="s">
        <v>17</v>
      </c>
      <c r="H186" s="16">
        <v>184</v>
      </c>
      <c r="I186" s="16">
        <v>1234</v>
      </c>
      <c r="J186" s="16">
        <v>6720183</v>
      </c>
      <c r="K186" s="16">
        <f>5443/3</f>
        <v>1814.3333333333333</v>
      </c>
    </row>
    <row r="187" spans="1:11" x14ac:dyDescent="0.2">
      <c r="A187" s="17" t="s">
        <v>56</v>
      </c>
      <c r="B187" s="16">
        <v>475</v>
      </c>
      <c r="C187" s="16">
        <v>6378</v>
      </c>
      <c r="D187" s="16">
        <v>53963606</v>
      </c>
      <c r="E187" s="16">
        <f>8677/3</f>
        <v>2892.3333333333335</v>
      </c>
      <c r="F187" s="16"/>
      <c r="G187" s="17" t="s">
        <v>56</v>
      </c>
      <c r="H187" s="16">
        <v>174</v>
      </c>
      <c r="I187" s="16">
        <v>2379</v>
      </c>
      <c r="J187" s="16">
        <v>12495390</v>
      </c>
      <c r="K187" s="16">
        <f>5392/3</f>
        <v>1797.3333333333333</v>
      </c>
    </row>
    <row r="188" spans="1:11" x14ac:dyDescent="0.2">
      <c r="A188" s="16" t="s">
        <v>18</v>
      </c>
      <c r="B188" s="16">
        <v>301</v>
      </c>
      <c r="C188" s="16">
        <v>8943</v>
      </c>
      <c r="D188" s="16">
        <v>80018594</v>
      </c>
      <c r="E188" s="16">
        <f>8991/3</f>
        <v>2997</v>
      </c>
      <c r="F188" s="16"/>
      <c r="G188" s="16" t="s">
        <v>18</v>
      </c>
      <c r="H188" s="16">
        <v>170</v>
      </c>
      <c r="I188" s="16">
        <v>5266</v>
      </c>
      <c r="J188" s="16">
        <v>33808876</v>
      </c>
      <c r="K188" s="16">
        <f>6572/3</f>
        <v>2190.6666666666665</v>
      </c>
    </row>
    <row r="189" spans="1:11" x14ac:dyDescent="0.2">
      <c r="A189" s="16" t="s">
        <v>19</v>
      </c>
      <c r="B189" s="16">
        <v>157</v>
      </c>
      <c r="C189" s="16">
        <v>10483</v>
      </c>
      <c r="D189" s="16">
        <v>94062894</v>
      </c>
      <c r="E189" s="16">
        <f>9196/3</f>
        <v>3065.3333333333335</v>
      </c>
      <c r="F189" s="16"/>
      <c r="G189" s="16" t="s">
        <v>19</v>
      </c>
      <c r="H189" s="16">
        <v>90</v>
      </c>
      <c r="I189" s="16">
        <v>6040</v>
      </c>
      <c r="J189" s="16">
        <v>46766303</v>
      </c>
      <c r="K189" s="16">
        <f>7891/3</f>
        <v>2630.3333333333335</v>
      </c>
    </row>
    <row r="190" spans="1:11" x14ac:dyDescent="0.2">
      <c r="A190" s="16" t="s">
        <v>20</v>
      </c>
      <c r="B190" s="16">
        <v>103</v>
      </c>
      <c r="C190" s="16">
        <v>15438</v>
      </c>
      <c r="D190" s="16">
        <v>104157628</v>
      </c>
      <c r="E190" s="16">
        <f>6771/3</f>
        <v>2257</v>
      </c>
      <c r="F190" s="16"/>
      <c r="G190" s="16" t="s">
        <v>20</v>
      </c>
      <c r="H190" s="16">
        <v>36</v>
      </c>
      <c r="I190" s="16">
        <v>5097</v>
      </c>
      <c r="J190" s="16">
        <v>45026017</v>
      </c>
      <c r="K190" s="16">
        <f>8982/3</f>
        <v>2994</v>
      </c>
    </row>
    <row r="191" spans="1:11" x14ac:dyDescent="0.2">
      <c r="A191" s="16" t="s">
        <v>21</v>
      </c>
      <c r="B191" s="16">
        <v>44</v>
      </c>
      <c r="C191" s="16">
        <v>15100</v>
      </c>
      <c r="D191" s="16">
        <v>122661522</v>
      </c>
      <c r="E191" s="16">
        <f>8264/3</f>
        <v>2754.6666666666665</v>
      </c>
      <c r="F191" s="16"/>
      <c r="G191" s="16" t="s">
        <v>59</v>
      </c>
      <c r="H191" s="16">
        <v>7</v>
      </c>
      <c r="I191" s="16">
        <v>2258</v>
      </c>
      <c r="J191" s="16">
        <v>20937202</v>
      </c>
      <c r="K191" s="16">
        <f>9434/3</f>
        <v>3144.6666666666665</v>
      </c>
    </row>
    <row r="192" spans="1:11" x14ac:dyDescent="0.2">
      <c r="A192" s="16" t="s">
        <v>23</v>
      </c>
      <c r="B192" s="16">
        <v>18</v>
      </c>
      <c r="C192" s="16">
        <v>12549</v>
      </c>
      <c r="D192" s="16">
        <v>105421836</v>
      </c>
      <c r="E192" s="16">
        <f>8321/3</f>
        <v>2773.6666666666665</v>
      </c>
      <c r="F192" s="16"/>
      <c r="G192" s="16" t="s">
        <v>58</v>
      </c>
      <c r="H192" s="16">
        <v>3</v>
      </c>
      <c r="I192" s="16">
        <v>1657</v>
      </c>
      <c r="J192" s="16">
        <v>14110461</v>
      </c>
      <c r="K192" s="18">
        <f>8871/3</f>
        <v>2957</v>
      </c>
    </row>
    <row r="193" spans="1:15" x14ac:dyDescent="0.2">
      <c r="A193" s="16" t="s">
        <v>24</v>
      </c>
      <c r="B193" s="16">
        <v>5</v>
      </c>
      <c r="C193" s="16">
        <v>7605</v>
      </c>
      <c r="D193" s="16">
        <v>45225361</v>
      </c>
      <c r="E193" s="16">
        <f>5896/3</f>
        <v>1965.3333333333333</v>
      </c>
      <c r="F193" s="16"/>
      <c r="G193" s="16" t="s">
        <v>24</v>
      </c>
      <c r="H193" s="16">
        <v>3</v>
      </c>
      <c r="I193" s="16">
        <v>21691</v>
      </c>
      <c r="J193" s="16">
        <v>136871556</v>
      </c>
      <c r="K193" s="16">
        <f>6326/3</f>
        <v>2108.6666666666665</v>
      </c>
    </row>
    <row r="195" spans="1:15" x14ac:dyDescent="0.2">
      <c r="A195" s="20" t="s">
        <v>62</v>
      </c>
      <c r="B195" s="21"/>
      <c r="C195" s="21"/>
      <c r="D195" s="21"/>
      <c r="E195" s="21"/>
      <c r="F195" s="21"/>
      <c r="G195" s="21"/>
      <c r="H195" s="21"/>
      <c r="I195" s="21"/>
    </row>
    <row r="196" spans="1:1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5" ht="14.25" x14ac:dyDescent="0.2">
      <c r="A197" s="3" t="s">
        <v>63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5" x14ac:dyDescent="0.2">
      <c r="A199" s="5"/>
      <c r="B199" s="5"/>
      <c r="C199" s="5"/>
      <c r="D199" s="27"/>
      <c r="E199" s="28"/>
      <c r="F199" s="28"/>
      <c r="G199" s="28"/>
      <c r="H199" s="28"/>
      <c r="I199" s="5"/>
      <c r="J199" s="5"/>
      <c r="K199" s="5"/>
    </row>
    <row r="200" spans="1:1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5" x14ac:dyDescent="0.2">
      <c r="A202" s="7" t="s">
        <v>42</v>
      </c>
      <c r="B202" s="7"/>
      <c r="C202" s="7"/>
      <c r="D202" s="7"/>
      <c r="E202" s="7"/>
      <c r="F202" s="6"/>
      <c r="G202" s="7" t="s">
        <v>43</v>
      </c>
      <c r="H202" s="7"/>
      <c r="I202" s="7"/>
      <c r="J202" s="7"/>
      <c r="K202" s="7"/>
    </row>
    <row r="204" spans="1:15" x14ac:dyDescent="0.2">
      <c r="A204" s="8"/>
      <c r="B204" s="8"/>
      <c r="C204" s="8"/>
      <c r="D204" s="8" t="s">
        <v>2</v>
      </c>
      <c r="E204" s="8" t="s">
        <v>3</v>
      </c>
      <c r="G204" s="8"/>
      <c r="H204" s="8"/>
      <c r="I204" s="8"/>
      <c r="J204" s="8" t="s">
        <v>2</v>
      </c>
      <c r="K204" s="8" t="s">
        <v>3</v>
      </c>
    </row>
    <row r="205" spans="1:15" x14ac:dyDescent="0.2">
      <c r="A205" s="9" t="s">
        <v>4</v>
      </c>
      <c r="B205" s="8" t="s">
        <v>5</v>
      </c>
      <c r="C205" s="8" t="s">
        <v>6</v>
      </c>
      <c r="D205" s="8" t="s">
        <v>7</v>
      </c>
      <c r="E205" s="8" t="s">
        <v>8</v>
      </c>
      <c r="G205" s="9" t="s">
        <v>4</v>
      </c>
      <c r="H205" s="8" t="s">
        <v>5</v>
      </c>
      <c r="I205" s="8" t="s">
        <v>6</v>
      </c>
      <c r="J205" s="8" t="s">
        <v>7</v>
      </c>
      <c r="K205" s="8" t="s">
        <v>8</v>
      </c>
    </row>
    <row r="206" spans="1:15" x14ac:dyDescent="0.2">
      <c r="A206" s="9" t="s">
        <v>9</v>
      </c>
      <c r="B206" s="8" t="s">
        <v>10</v>
      </c>
      <c r="C206" s="8" t="s">
        <v>11</v>
      </c>
      <c r="D206" s="8" t="s">
        <v>12</v>
      </c>
      <c r="E206" s="8" t="s">
        <v>13</v>
      </c>
      <c r="G206" s="9" t="s">
        <v>9</v>
      </c>
      <c r="H206" s="8" t="s">
        <v>10</v>
      </c>
      <c r="I206" s="8" t="s">
        <v>11</v>
      </c>
      <c r="J206" s="8" t="s">
        <v>12</v>
      </c>
      <c r="K206" s="8" t="s">
        <v>13</v>
      </c>
    </row>
    <row r="208" spans="1:15" x14ac:dyDescent="0.2">
      <c r="O208" s="29" t="s">
        <v>28</v>
      </c>
    </row>
    <row r="209" spans="1:24" x14ac:dyDescent="0.2">
      <c r="A209" s="13" t="s">
        <v>27</v>
      </c>
      <c r="B209" s="13">
        <f>SUM(B211:B220)</f>
        <v>9721</v>
      </c>
      <c r="C209" s="13">
        <f>SUM(C211:C220)</f>
        <v>143822</v>
      </c>
      <c r="D209" s="14">
        <f>SUM(D211:D220)</f>
        <v>1332116881</v>
      </c>
      <c r="E209" s="14">
        <f>9293/3</f>
        <v>3097.6666666666665</v>
      </c>
      <c r="F209" s="13"/>
      <c r="G209" s="13" t="s">
        <v>27</v>
      </c>
      <c r="H209" s="13">
        <f>SUM(H211:H220)</f>
        <v>1215</v>
      </c>
      <c r="I209" s="13">
        <f>SUM(I211:I220)</f>
        <v>22879</v>
      </c>
      <c r="J209" s="14">
        <f>SUM(J211:J221)</f>
        <v>131692193</v>
      </c>
      <c r="K209" s="14">
        <f>5842/3</f>
        <v>1947.3333333333333</v>
      </c>
    </row>
    <row r="210" spans="1:24" x14ac:dyDescent="0.2">
      <c r="A210" s="16" t="s">
        <v>28</v>
      </c>
      <c r="B210" s="16"/>
      <c r="C210" s="16"/>
      <c r="D210" s="16"/>
      <c r="E210" s="16"/>
      <c r="F210" s="16"/>
      <c r="G210" s="16" t="s">
        <v>28</v>
      </c>
      <c r="H210" s="16"/>
      <c r="I210" s="16"/>
      <c r="J210" s="16"/>
      <c r="K210" s="16"/>
    </row>
    <row r="211" spans="1:24" x14ac:dyDescent="0.2">
      <c r="A211" s="16" t="s">
        <v>15</v>
      </c>
      <c r="B211" s="16">
        <v>944</v>
      </c>
      <c r="C211" s="16">
        <v>0</v>
      </c>
      <c r="D211" s="16">
        <v>5857497</v>
      </c>
      <c r="E211" s="16">
        <f>10041/3</f>
        <v>3347</v>
      </c>
      <c r="F211" s="16"/>
      <c r="G211" s="16" t="s">
        <v>15</v>
      </c>
      <c r="H211" s="16">
        <v>231</v>
      </c>
      <c r="I211" s="16">
        <v>0</v>
      </c>
      <c r="J211" s="16">
        <v>350684</v>
      </c>
      <c r="K211" s="16">
        <f>4718/3</f>
        <v>1572.6666666666667</v>
      </c>
    </row>
    <row r="212" spans="1:24" x14ac:dyDescent="0.2">
      <c r="A212" s="16" t="s">
        <v>16</v>
      </c>
      <c r="B212" s="16">
        <v>4707</v>
      </c>
      <c r="C212" s="16">
        <v>8245</v>
      </c>
      <c r="D212" s="16">
        <v>84247325</v>
      </c>
      <c r="E212" s="16">
        <f>10217/3</f>
        <v>3405.6666666666665</v>
      </c>
      <c r="F212" s="16"/>
      <c r="G212" s="16" t="s">
        <v>16</v>
      </c>
      <c r="H212" s="16">
        <v>477</v>
      </c>
      <c r="I212" s="16">
        <v>861</v>
      </c>
      <c r="J212" s="16">
        <v>5811598</v>
      </c>
      <c r="K212" s="16">
        <f>6946/3</f>
        <v>2315.3333333333335</v>
      </c>
    </row>
    <row r="213" spans="1:24" x14ac:dyDescent="0.2">
      <c r="A213" s="16" t="s">
        <v>17</v>
      </c>
      <c r="B213" s="16">
        <v>1669</v>
      </c>
      <c r="C213" s="16">
        <v>11261</v>
      </c>
      <c r="D213" s="16">
        <v>87790992</v>
      </c>
      <c r="E213" s="16">
        <f>7864/3</f>
        <v>2621.3333333333335</v>
      </c>
      <c r="F213" s="16"/>
      <c r="G213" s="16" t="s">
        <v>17</v>
      </c>
      <c r="H213" s="16">
        <v>168</v>
      </c>
      <c r="I213" s="16">
        <v>1120</v>
      </c>
      <c r="J213" s="16">
        <v>5860271</v>
      </c>
      <c r="K213" s="16">
        <f>5522/3</f>
        <v>1840.6666666666667</v>
      </c>
    </row>
    <row r="214" spans="1:24" x14ac:dyDescent="0.2">
      <c r="A214" s="17" t="s">
        <v>56</v>
      </c>
      <c r="B214" s="16">
        <v>1169</v>
      </c>
      <c r="C214" s="16">
        <v>15779</v>
      </c>
      <c r="D214" s="16">
        <v>116716112</v>
      </c>
      <c r="E214" s="16">
        <f>7483/3</f>
        <v>2494.3333333333335</v>
      </c>
      <c r="F214" s="16"/>
      <c r="G214" s="17" t="s">
        <v>56</v>
      </c>
      <c r="H214" s="16">
        <v>145</v>
      </c>
      <c r="I214" s="16">
        <v>1977</v>
      </c>
      <c r="J214" s="16">
        <v>8450672</v>
      </c>
      <c r="K214" s="16">
        <f>4448/3</f>
        <v>1482.6666666666667</v>
      </c>
    </row>
    <row r="215" spans="1:24" x14ac:dyDescent="0.2">
      <c r="A215" s="16" t="s">
        <v>18</v>
      </c>
      <c r="B215" s="16">
        <v>752</v>
      </c>
      <c r="C215" s="16">
        <v>22523</v>
      </c>
      <c r="D215" s="16">
        <v>184795438</v>
      </c>
      <c r="E215" s="16">
        <f>8265/3</f>
        <v>2755</v>
      </c>
      <c r="F215" s="16"/>
      <c r="G215" s="16" t="s">
        <v>18</v>
      </c>
      <c r="H215" s="16">
        <v>108</v>
      </c>
      <c r="I215" s="16">
        <v>3512</v>
      </c>
      <c r="J215" s="16">
        <v>15151885</v>
      </c>
      <c r="K215" s="16">
        <f>4470/3</f>
        <v>1490</v>
      </c>
    </row>
    <row r="216" spans="1:24" x14ac:dyDescent="0.2">
      <c r="A216" s="16" t="s">
        <v>19</v>
      </c>
      <c r="B216" s="16">
        <v>290</v>
      </c>
      <c r="C216" s="16">
        <v>19822</v>
      </c>
      <c r="D216" s="16">
        <v>159681547</v>
      </c>
      <c r="E216" s="16">
        <f>8171/3</f>
        <v>2723.6666666666665</v>
      </c>
      <c r="F216" s="16"/>
      <c r="G216" s="16" t="s">
        <v>19</v>
      </c>
      <c r="H216" s="16">
        <v>53</v>
      </c>
      <c r="I216" s="16">
        <v>3599</v>
      </c>
      <c r="J216" s="16">
        <v>13755824</v>
      </c>
      <c r="K216" s="16">
        <f>3863/3</f>
        <v>1287.6666666666667</v>
      </c>
    </row>
    <row r="217" spans="1:24" x14ac:dyDescent="0.2">
      <c r="A217" s="16" t="s">
        <v>20</v>
      </c>
      <c r="B217" s="16">
        <v>139</v>
      </c>
      <c r="C217" s="16">
        <v>20739</v>
      </c>
      <c r="D217" s="16">
        <v>187195159</v>
      </c>
      <c r="E217" s="16">
        <f>9142/3</f>
        <v>3047.3333333333335</v>
      </c>
      <c r="F217" s="16"/>
      <c r="G217" s="16" t="s">
        <v>20</v>
      </c>
      <c r="H217" s="16">
        <v>20</v>
      </c>
      <c r="I217" s="16">
        <v>2828</v>
      </c>
      <c r="J217" s="16">
        <v>16189976</v>
      </c>
      <c r="K217" s="16">
        <f>5935/3</f>
        <v>1978.3333333333333</v>
      </c>
    </row>
    <row r="218" spans="1:24" x14ac:dyDescent="0.2">
      <c r="A218" s="16" t="s">
        <v>21</v>
      </c>
      <c r="B218" s="16">
        <v>25</v>
      </c>
      <c r="C218" s="16">
        <v>8774</v>
      </c>
      <c r="D218" s="16">
        <v>87787391</v>
      </c>
      <c r="E218" s="16">
        <f>10031/3</f>
        <v>3343.6666666666665</v>
      </c>
      <c r="F218" s="16"/>
      <c r="G218" s="16" t="s">
        <v>21</v>
      </c>
      <c r="H218" s="16">
        <v>7</v>
      </c>
      <c r="I218" s="16">
        <v>2348</v>
      </c>
      <c r="J218" s="16">
        <v>27268309</v>
      </c>
      <c r="K218" s="16">
        <f>11406/3</f>
        <v>3802</v>
      </c>
      <c r="X218" s="2" t="s">
        <v>28</v>
      </c>
    </row>
    <row r="219" spans="1:24" x14ac:dyDescent="0.2">
      <c r="A219" s="16" t="s">
        <v>23</v>
      </c>
      <c r="B219" s="16">
        <v>17</v>
      </c>
      <c r="C219" s="16">
        <v>12560</v>
      </c>
      <c r="D219" s="16">
        <v>126303137</v>
      </c>
      <c r="E219" s="16">
        <f>10109/3</f>
        <v>3369.6666666666665</v>
      </c>
      <c r="F219" s="16"/>
      <c r="G219" s="16" t="s">
        <v>31</v>
      </c>
      <c r="H219" s="16">
        <v>3</v>
      </c>
      <c r="I219" s="16">
        <v>1645</v>
      </c>
      <c r="J219" s="16">
        <v>7589556</v>
      </c>
      <c r="K219" s="18">
        <f>5156/3</f>
        <v>1718.6666666666667</v>
      </c>
    </row>
    <row r="220" spans="1:24" x14ac:dyDescent="0.2">
      <c r="A220" s="16" t="s">
        <v>24</v>
      </c>
      <c r="B220" s="16">
        <v>9</v>
      </c>
      <c r="C220" s="16">
        <v>24119</v>
      </c>
      <c r="D220" s="16">
        <v>291742283</v>
      </c>
      <c r="E220" s="16">
        <f>12093/3</f>
        <v>4031</v>
      </c>
      <c r="F220" s="16"/>
      <c r="G220" s="16" t="s">
        <v>24</v>
      </c>
      <c r="H220" s="16">
        <v>3</v>
      </c>
      <c r="I220" s="16">
        <v>4989</v>
      </c>
      <c r="J220" s="16">
        <v>31263418</v>
      </c>
      <c r="K220" s="16">
        <f>6095/3</f>
        <v>2031.6666666666667</v>
      </c>
    </row>
    <row r="222" spans="1:24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24" x14ac:dyDescent="0.2">
      <c r="A223" s="7" t="s">
        <v>44</v>
      </c>
      <c r="B223" s="7"/>
      <c r="C223" s="7"/>
      <c r="D223" s="7"/>
      <c r="E223" s="7"/>
      <c r="F223" s="6"/>
      <c r="G223" s="7" t="s">
        <v>45</v>
      </c>
      <c r="H223" s="7"/>
      <c r="I223" s="7"/>
      <c r="J223" s="7"/>
      <c r="K223" s="7"/>
    </row>
    <row r="225" spans="1:29" x14ac:dyDescent="0.2">
      <c r="A225" s="8"/>
      <c r="B225" s="8"/>
      <c r="C225" s="8"/>
      <c r="D225" s="8" t="s">
        <v>2</v>
      </c>
      <c r="E225" s="8" t="s">
        <v>3</v>
      </c>
      <c r="G225" s="8"/>
      <c r="H225" s="8"/>
      <c r="I225" s="8"/>
      <c r="J225" s="8" t="s">
        <v>2</v>
      </c>
      <c r="K225" s="8" t="s">
        <v>3</v>
      </c>
    </row>
    <row r="226" spans="1:29" x14ac:dyDescent="0.2">
      <c r="A226" s="9" t="s">
        <v>4</v>
      </c>
      <c r="B226" s="8" t="s">
        <v>5</v>
      </c>
      <c r="C226" s="8" t="s">
        <v>6</v>
      </c>
      <c r="D226" s="8" t="s">
        <v>7</v>
      </c>
      <c r="E226" s="8" t="s">
        <v>8</v>
      </c>
      <c r="G226" s="9" t="s">
        <v>4</v>
      </c>
      <c r="H226" s="8" t="s">
        <v>5</v>
      </c>
      <c r="I226" s="8" t="s">
        <v>6</v>
      </c>
      <c r="J226" s="8" t="s">
        <v>7</v>
      </c>
      <c r="K226" s="8" t="s">
        <v>8</v>
      </c>
    </row>
    <row r="227" spans="1:29" x14ac:dyDescent="0.2">
      <c r="A227" s="9" t="s">
        <v>9</v>
      </c>
      <c r="B227" s="8" t="s">
        <v>10</v>
      </c>
      <c r="C227" s="8" t="s">
        <v>11</v>
      </c>
      <c r="D227" s="8" t="s">
        <v>12</v>
      </c>
      <c r="E227" s="8" t="s">
        <v>13</v>
      </c>
      <c r="G227" s="9" t="s">
        <v>9</v>
      </c>
      <c r="H227" s="8" t="s">
        <v>10</v>
      </c>
      <c r="I227" s="8" t="s">
        <v>11</v>
      </c>
      <c r="J227" s="8" t="s">
        <v>12</v>
      </c>
      <c r="K227" s="8" t="s">
        <v>13</v>
      </c>
    </row>
    <row r="230" spans="1:29" x14ac:dyDescent="0.2">
      <c r="A230" s="13" t="s">
        <v>27</v>
      </c>
      <c r="B230" s="13">
        <f>SUM(B232:B240)</f>
        <v>5543</v>
      </c>
      <c r="C230" s="13">
        <f>SUM(C232:C240)</f>
        <v>114599</v>
      </c>
      <c r="D230" s="13">
        <f>SUM(D232:D240)</f>
        <v>474854914</v>
      </c>
      <c r="E230" s="14">
        <f>4217/3</f>
        <v>1405.6666666666667</v>
      </c>
      <c r="F230" s="13"/>
      <c r="G230" s="13" t="s">
        <v>27</v>
      </c>
      <c r="H230" s="13">
        <f>SUM(H232:H240)</f>
        <v>5273</v>
      </c>
      <c r="I230" s="13">
        <v>38509</v>
      </c>
      <c r="J230" s="14">
        <v>308978138</v>
      </c>
      <c r="K230" s="14">
        <v>2690</v>
      </c>
      <c r="AA230" s="30"/>
    </row>
    <row r="231" spans="1:29" x14ac:dyDescent="0.2">
      <c r="A231" s="16" t="s">
        <v>28</v>
      </c>
      <c r="B231" s="16"/>
      <c r="C231" s="16"/>
      <c r="D231" s="16"/>
      <c r="E231" s="16"/>
      <c r="F231" s="16"/>
      <c r="G231" s="16" t="s">
        <v>28</v>
      </c>
      <c r="H231" s="16"/>
      <c r="I231" s="16"/>
      <c r="J231" s="16"/>
      <c r="K231" s="18"/>
    </row>
    <row r="232" spans="1:29" x14ac:dyDescent="0.2">
      <c r="A232" s="16" t="s">
        <v>15</v>
      </c>
      <c r="B232" s="16">
        <v>311</v>
      </c>
      <c r="C232" s="16">
        <v>0</v>
      </c>
      <c r="D232" s="16">
        <v>1595578</v>
      </c>
      <c r="E232" s="16">
        <f>4970/3</f>
        <v>1656.6666666666667</v>
      </c>
      <c r="F232" s="16"/>
      <c r="G232" s="16" t="s">
        <v>15</v>
      </c>
      <c r="H232" s="16">
        <v>483</v>
      </c>
      <c r="I232" s="16">
        <v>0</v>
      </c>
      <c r="J232" s="16">
        <v>1862382</v>
      </c>
      <c r="K232" s="16">
        <v>3151.2385786802029</v>
      </c>
      <c r="O232" s="31"/>
      <c r="P232" s="31"/>
      <c r="Y232" s="32"/>
      <c r="Z232" s="32"/>
      <c r="AA232" s="32"/>
      <c r="AB232" s="32"/>
      <c r="AC232" s="32"/>
    </row>
    <row r="233" spans="1:29" x14ac:dyDescent="0.2">
      <c r="A233" s="16" t="s">
        <v>16</v>
      </c>
      <c r="B233" s="16">
        <v>894</v>
      </c>
      <c r="C233" s="16">
        <v>2247</v>
      </c>
      <c r="D233" s="16">
        <v>12132710</v>
      </c>
      <c r="E233" s="16">
        <f>5550/3</f>
        <v>1850</v>
      </c>
      <c r="F233" s="16"/>
      <c r="G233" s="16" t="s">
        <v>16</v>
      </c>
      <c r="H233" s="16">
        <v>2767</v>
      </c>
      <c r="I233" s="16">
        <v>5535</v>
      </c>
      <c r="J233" s="16">
        <v>41827416</v>
      </c>
      <c r="K233" s="16">
        <v>2540.3836015791071</v>
      </c>
      <c r="O233" s="31"/>
      <c r="P233" s="31"/>
      <c r="Y233" s="32"/>
      <c r="Z233" s="32"/>
      <c r="AA233" s="32"/>
      <c r="AB233" s="32"/>
      <c r="AC233" s="32"/>
    </row>
    <row r="234" spans="1:29" x14ac:dyDescent="0.2">
      <c r="A234" s="16" t="s">
        <v>17</v>
      </c>
      <c r="B234" s="16">
        <v>892</v>
      </c>
      <c r="C234" s="16">
        <v>6118</v>
      </c>
      <c r="D234" s="16">
        <v>20707297</v>
      </c>
      <c r="E234" s="16">
        <f>3468/3</f>
        <v>1156</v>
      </c>
      <c r="F234" s="16"/>
      <c r="G234" s="16" t="s">
        <v>17</v>
      </c>
      <c r="H234" s="16">
        <v>1097</v>
      </c>
      <c r="I234" s="16">
        <v>7423</v>
      </c>
      <c r="J234" s="16">
        <v>51490753</v>
      </c>
      <c r="K234" s="16">
        <v>2351.6054530507854</v>
      </c>
      <c r="O234" s="31"/>
      <c r="P234" s="31"/>
      <c r="Y234" s="32"/>
      <c r="Z234" s="32"/>
      <c r="AA234" s="32"/>
      <c r="AB234" s="32"/>
      <c r="AC234" s="32"/>
    </row>
    <row r="235" spans="1:29" x14ac:dyDescent="0.2">
      <c r="A235" s="17" t="s">
        <v>56</v>
      </c>
      <c r="B235" s="16">
        <v>1394</v>
      </c>
      <c r="C235" s="16">
        <v>19871</v>
      </c>
      <c r="D235" s="16">
        <v>66563245</v>
      </c>
      <c r="E235" s="16">
        <f>3426/3</f>
        <v>1142</v>
      </c>
      <c r="F235" s="16"/>
      <c r="G235" s="17" t="s">
        <v>56</v>
      </c>
      <c r="H235" s="16">
        <v>627</v>
      </c>
      <c r="I235" s="16">
        <v>8183</v>
      </c>
      <c r="J235" s="16">
        <v>57955348</v>
      </c>
      <c r="K235" s="16">
        <v>2401.0004142845305</v>
      </c>
      <c r="O235" s="31"/>
      <c r="P235" s="31"/>
      <c r="Y235" s="32"/>
      <c r="Z235" s="32"/>
      <c r="AA235" s="32"/>
      <c r="AB235" s="32"/>
      <c r="AC235" s="32"/>
    </row>
    <row r="236" spans="1:29" x14ac:dyDescent="0.2">
      <c r="A236" s="16" t="s">
        <v>18</v>
      </c>
      <c r="B236" s="16">
        <v>1625</v>
      </c>
      <c r="C236" s="16">
        <v>47757</v>
      </c>
      <c r="D236" s="16">
        <v>173263889</v>
      </c>
      <c r="E236" s="16">
        <f>3710/3</f>
        <v>1236.6666666666667</v>
      </c>
      <c r="F236" s="16"/>
      <c r="G236" s="16" t="s">
        <v>18</v>
      </c>
      <c r="H236" s="16">
        <v>206</v>
      </c>
      <c r="I236" s="16">
        <v>5967</v>
      </c>
      <c r="J236" s="16">
        <v>46014713</v>
      </c>
      <c r="K236" s="16">
        <v>2624.6128793064113</v>
      </c>
      <c r="O236" s="31"/>
      <c r="P236" s="31"/>
      <c r="Y236" s="32"/>
      <c r="Z236" s="32"/>
      <c r="AA236" s="32"/>
      <c r="AB236" s="32"/>
      <c r="AC236" s="32"/>
    </row>
    <row r="237" spans="1:29" x14ac:dyDescent="0.2">
      <c r="A237" s="16" t="s">
        <v>19</v>
      </c>
      <c r="B237" s="16">
        <v>352</v>
      </c>
      <c r="C237" s="16">
        <v>22757</v>
      </c>
      <c r="D237" s="16">
        <v>98016787</v>
      </c>
      <c r="E237" s="16">
        <f>4397/3</f>
        <v>1465.6666666666667</v>
      </c>
      <c r="F237" s="16"/>
      <c r="G237" s="16" t="s">
        <v>19</v>
      </c>
      <c r="H237" s="16">
        <v>60</v>
      </c>
      <c r="I237" s="16">
        <v>3965</v>
      </c>
      <c r="J237" s="16">
        <v>33222059</v>
      </c>
      <c r="K237" s="16">
        <v>2802.6032562847986</v>
      </c>
      <c r="O237" s="31"/>
      <c r="P237" s="31"/>
      <c r="Y237" s="32"/>
      <c r="Z237" s="32"/>
      <c r="AA237" s="32"/>
      <c r="AB237" s="32"/>
      <c r="AC237" s="32"/>
    </row>
    <row r="238" spans="1:29" x14ac:dyDescent="0.2">
      <c r="A238" s="16" t="s">
        <v>20</v>
      </c>
      <c r="B238" s="16">
        <v>61</v>
      </c>
      <c r="C238" s="16">
        <v>8243</v>
      </c>
      <c r="D238" s="16">
        <v>44375891</v>
      </c>
      <c r="E238" s="16">
        <f>5501/3</f>
        <v>1833.6666666666667</v>
      </c>
      <c r="F238" s="16"/>
      <c r="G238" s="16" t="s">
        <v>20</v>
      </c>
      <c r="H238" s="16">
        <v>23</v>
      </c>
      <c r="I238" s="16">
        <v>3272</v>
      </c>
      <c r="J238" s="16">
        <v>34130694</v>
      </c>
      <c r="K238" s="16">
        <v>3521.1692974311359</v>
      </c>
      <c r="O238" s="31"/>
      <c r="P238" s="31"/>
      <c r="Y238" s="32"/>
      <c r="Z238" s="32"/>
      <c r="AA238" s="32"/>
      <c r="AB238" s="32"/>
      <c r="AC238" s="32"/>
    </row>
    <row r="239" spans="1:29" x14ac:dyDescent="0.2">
      <c r="A239" s="16" t="s">
        <v>21</v>
      </c>
      <c r="B239" s="16">
        <v>8</v>
      </c>
      <c r="C239" s="16">
        <v>2609</v>
      </c>
      <c r="D239" s="16">
        <v>18528279</v>
      </c>
      <c r="E239" s="16">
        <f>7142/3</f>
        <v>2380.6666666666665</v>
      </c>
      <c r="F239" s="16"/>
      <c r="G239" s="16" t="s">
        <v>21</v>
      </c>
      <c r="H239" s="16">
        <v>6</v>
      </c>
      <c r="I239" s="16">
        <v>2153</v>
      </c>
      <c r="J239" s="16">
        <v>15117823</v>
      </c>
      <c r="K239" s="16">
        <v>2338.0487163625116</v>
      </c>
      <c r="O239" s="31"/>
      <c r="P239" s="31"/>
      <c r="Y239" s="32"/>
      <c r="Z239" s="32"/>
      <c r="AA239" s="32"/>
      <c r="AB239" s="32"/>
      <c r="AC239" s="32"/>
    </row>
    <row r="240" spans="1:29" x14ac:dyDescent="0.2">
      <c r="A240" s="16" t="s">
        <v>31</v>
      </c>
      <c r="B240" s="16">
        <f>4+2</f>
        <v>6</v>
      </c>
      <c r="C240" s="16">
        <f>2382+2615</f>
        <v>4997</v>
      </c>
      <c r="D240" s="16">
        <f>21718897+17952341</f>
        <v>39671238</v>
      </c>
      <c r="E240" s="18">
        <f>(21718897+17952341)/(2428+2621+2654+2459+2382+2615)</f>
        <v>2617.0089056006332</v>
      </c>
      <c r="F240" s="16"/>
      <c r="G240" s="16" t="s">
        <v>54</v>
      </c>
      <c r="H240" s="16">
        <v>4</v>
      </c>
      <c r="I240" s="16">
        <v>2539</v>
      </c>
      <c r="J240" s="16">
        <v>31070741</v>
      </c>
      <c r="K240" s="16">
        <v>4085.0303707599264</v>
      </c>
      <c r="O240" s="31"/>
      <c r="P240" s="31"/>
      <c r="Y240" s="32"/>
      <c r="Z240" s="32"/>
      <c r="AA240" s="32"/>
      <c r="AB240" s="32"/>
      <c r="AC240" s="32"/>
    </row>
    <row r="241" spans="1:29" x14ac:dyDescent="0.2">
      <c r="O241" s="31"/>
      <c r="P241" s="31"/>
      <c r="Y241" s="32"/>
      <c r="Z241" s="32"/>
      <c r="AA241" s="32"/>
      <c r="AB241" s="32"/>
      <c r="AC241" s="32"/>
    </row>
    <row r="242" spans="1:29" x14ac:dyDescent="0.2">
      <c r="Y242" s="32"/>
      <c r="Z242" s="32"/>
      <c r="AA242" s="32"/>
      <c r="AB242" s="32"/>
      <c r="AC242" s="32"/>
    </row>
    <row r="243" spans="1:29" x14ac:dyDescent="0.2">
      <c r="A243" s="20" t="s">
        <v>62</v>
      </c>
      <c r="B243" s="21"/>
      <c r="C243" s="21"/>
      <c r="D243" s="21"/>
      <c r="E243" s="21"/>
      <c r="F243" s="21"/>
      <c r="G243" s="21"/>
      <c r="H243" s="21"/>
      <c r="I243" s="21"/>
    </row>
    <row r="244" spans="1:29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29" ht="14.25" x14ac:dyDescent="0.2">
      <c r="A245" s="3" t="s">
        <v>63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29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29" x14ac:dyDescent="0.2">
      <c r="A247" s="5"/>
      <c r="B247" s="5"/>
      <c r="C247" s="5"/>
      <c r="D247" s="27"/>
      <c r="E247" s="28"/>
      <c r="F247" s="28"/>
      <c r="G247" s="28"/>
      <c r="H247" s="28"/>
      <c r="I247" s="5"/>
      <c r="J247" s="5"/>
      <c r="K247" s="5"/>
    </row>
    <row r="248" spans="1:29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1:29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29" x14ac:dyDescent="0.2">
      <c r="A250" s="7" t="s">
        <v>53</v>
      </c>
      <c r="B250" s="7"/>
      <c r="C250" s="7"/>
      <c r="D250" s="7"/>
      <c r="E250" s="7"/>
      <c r="F250" s="6"/>
      <c r="G250" s="7" t="s">
        <v>46</v>
      </c>
      <c r="H250" s="7"/>
      <c r="I250" s="7"/>
      <c r="J250" s="7"/>
      <c r="K250" s="7"/>
    </row>
    <row r="252" spans="1:29" x14ac:dyDescent="0.2">
      <c r="B252" s="8"/>
      <c r="C252" s="8"/>
      <c r="D252" s="8" t="s">
        <v>2</v>
      </c>
      <c r="E252" s="8" t="s">
        <v>3</v>
      </c>
      <c r="H252" s="8"/>
      <c r="I252" s="8"/>
      <c r="J252" s="8" t="s">
        <v>2</v>
      </c>
      <c r="K252" s="8" t="s">
        <v>3</v>
      </c>
    </row>
    <row r="253" spans="1:29" x14ac:dyDescent="0.2">
      <c r="A253" s="9" t="s">
        <v>4</v>
      </c>
      <c r="B253" s="8" t="s">
        <v>5</v>
      </c>
      <c r="C253" s="8" t="s">
        <v>6</v>
      </c>
      <c r="D253" s="8" t="s">
        <v>7</v>
      </c>
      <c r="E253" s="8" t="s">
        <v>8</v>
      </c>
      <c r="G253" s="9" t="s">
        <v>4</v>
      </c>
      <c r="H253" s="8" t="s">
        <v>5</v>
      </c>
      <c r="I253" s="8" t="s">
        <v>6</v>
      </c>
      <c r="J253" s="8" t="s">
        <v>7</v>
      </c>
      <c r="K253" s="8" t="s">
        <v>8</v>
      </c>
    </row>
    <row r="254" spans="1:29" x14ac:dyDescent="0.2">
      <c r="A254" s="9" t="s">
        <v>9</v>
      </c>
      <c r="B254" s="8" t="s">
        <v>10</v>
      </c>
      <c r="C254" s="8" t="s">
        <v>11</v>
      </c>
      <c r="D254" s="8" t="s">
        <v>12</v>
      </c>
      <c r="E254" s="8" t="s">
        <v>13</v>
      </c>
      <c r="G254" s="9" t="s">
        <v>9</v>
      </c>
      <c r="H254" s="8" t="s">
        <v>10</v>
      </c>
      <c r="I254" s="8" t="s">
        <v>11</v>
      </c>
      <c r="J254" s="8" t="s">
        <v>12</v>
      </c>
      <c r="K254" s="8" t="s">
        <v>13</v>
      </c>
    </row>
    <row r="257" spans="1:11" x14ac:dyDescent="0.2">
      <c r="A257" s="10" t="s">
        <v>27</v>
      </c>
      <c r="B257" s="10">
        <f>SUM(B259:B268)</f>
        <v>3756</v>
      </c>
      <c r="C257" s="10">
        <f>SUM(C259:C268)</f>
        <v>240176</v>
      </c>
      <c r="D257" s="11">
        <f>SUM(D259:D268)</f>
        <v>2457891745</v>
      </c>
      <c r="E257" s="33">
        <f>10326/3</f>
        <v>3442</v>
      </c>
      <c r="F257" s="10"/>
      <c r="G257" s="10" t="s">
        <v>27</v>
      </c>
      <c r="H257" s="10">
        <f>SUM(H259:H268)</f>
        <v>548</v>
      </c>
      <c r="I257" s="10">
        <f>SUM(I259:I268)</f>
        <v>35495</v>
      </c>
      <c r="J257" s="11">
        <f>SUM(J259:J268)</f>
        <v>585384048</v>
      </c>
      <c r="K257" s="11">
        <f>16655/3</f>
        <v>5551.666666666667</v>
      </c>
    </row>
    <row r="258" spans="1:11" x14ac:dyDescent="0.2">
      <c r="A258" s="2" t="s">
        <v>28</v>
      </c>
      <c r="G258" s="2" t="s">
        <v>28</v>
      </c>
    </row>
    <row r="259" spans="1:11" x14ac:dyDescent="0.2">
      <c r="A259" s="2" t="s">
        <v>15</v>
      </c>
      <c r="B259" s="2">
        <v>59</v>
      </c>
      <c r="C259" s="2">
        <v>0</v>
      </c>
      <c r="D259" s="2">
        <v>39907</v>
      </c>
      <c r="E259" s="2">
        <f>3521/3</f>
        <v>1173.6666666666667</v>
      </c>
      <c r="G259" s="2" t="s">
        <v>15</v>
      </c>
      <c r="H259" s="2">
        <v>18</v>
      </c>
      <c r="I259" s="2">
        <v>0</v>
      </c>
      <c r="J259" s="2">
        <v>17074</v>
      </c>
      <c r="K259" s="2">
        <f>12806/3</f>
        <v>4268.666666666667</v>
      </c>
    </row>
    <row r="260" spans="1:11" x14ac:dyDescent="0.2">
      <c r="A260" s="2" t="s">
        <v>16</v>
      </c>
      <c r="B260" s="2">
        <v>779</v>
      </c>
      <c r="C260" s="2">
        <v>1819</v>
      </c>
      <c r="D260" s="2">
        <v>18780093</v>
      </c>
      <c r="E260" s="2">
        <f>10283/3</f>
        <v>3427.6666666666665</v>
      </c>
      <c r="G260" s="2" t="s">
        <v>16</v>
      </c>
      <c r="H260" s="2">
        <v>236</v>
      </c>
      <c r="I260" s="2">
        <v>488</v>
      </c>
      <c r="J260" s="2">
        <v>6235887</v>
      </c>
      <c r="K260" s="2">
        <f>13073/3</f>
        <v>4357.666666666667</v>
      </c>
    </row>
    <row r="261" spans="1:11" x14ac:dyDescent="0.2">
      <c r="A261" s="2" t="s">
        <v>17</v>
      </c>
      <c r="B261" s="2">
        <v>623</v>
      </c>
      <c r="C261" s="2">
        <v>4142</v>
      </c>
      <c r="D261" s="2">
        <v>35353698</v>
      </c>
      <c r="E261" s="2">
        <f>8529/3</f>
        <v>2843</v>
      </c>
      <c r="G261" s="2" t="s">
        <v>17</v>
      </c>
      <c r="H261" s="2">
        <v>75</v>
      </c>
      <c r="I261" s="2">
        <v>505</v>
      </c>
      <c r="J261" s="2">
        <v>6797539</v>
      </c>
      <c r="K261" s="2">
        <f>13686/3</f>
        <v>4562</v>
      </c>
    </row>
    <row r="262" spans="1:11" x14ac:dyDescent="0.2">
      <c r="A262" s="34" t="s">
        <v>56</v>
      </c>
      <c r="B262" s="2">
        <v>525</v>
      </c>
      <c r="C262" s="2">
        <v>7346</v>
      </c>
      <c r="D262" s="2">
        <v>73033165</v>
      </c>
      <c r="E262" s="2">
        <f>10122/3</f>
        <v>3374</v>
      </c>
      <c r="G262" s="34" t="s">
        <v>56</v>
      </c>
      <c r="H262" s="2">
        <v>85</v>
      </c>
      <c r="I262" s="2">
        <v>1182</v>
      </c>
      <c r="J262" s="2">
        <v>19275363</v>
      </c>
      <c r="K262" s="2">
        <f>16771/3</f>
        <v>5590.333333333333</v>
      </c>
    </row>
    <row r="263" spans="1:11" x14ac:dyDescent="0.2">
      <c r="A263" s="2" t="s">
        <v>18</v>
      </c>
      <c r="B263" s="2">
        <v>703</v>
      </c>
      <c r="C263" s="2">
        <v>23204</v>
      </c>
      <c r="D263" s="2">
        <v>215511929</v>
      </c>
      <c r="E263" s="2">
        <f>9349/3</f>
        <v>3116.3333333333335</v>
      </c>
      <c r="G263" s="2" t="s">
        <v>18</v>
      </c>
      <c r="H263" s="2">
        <v>59</v>
      </c>
      <c r="I263" s="2">
        <v>1957</v>
      </c>
      <c r="J263" s="2">
        <v>29190004</v>
      </c>
      <c r="K263" s="2">
        <f>15044/3</f>
        <v>5014.666666666667</v>
      </c>
    </row>
    <row r="264" spans="1:11" x14ac:dyDescent="0.2">
      <c r="A264" s="2" t="s">
        <v>19</v>
      </c>
      <c r="B264" s="2">
        <v>702</v>
      </c>
      <c r="C264" s="2">
        <v>48476</v>
      </c>
      <c r="D264" s="2">
        <v>428982828</v>
      </c>
      <c r="E264" s="2">
        <f>8888/3</f>
        <v>2962.6666666666665</v>
      </c>
      <c r="F264" s="2" t="s">
        <v>28</v>
      </c>
      <c r="G264" s="2" t="s">
        <v>19</v>
      </c>
      <c r="H264" s="2">
        <v>40</v>
      </c>
      <c r="I264" s="2">
        <v>2872</v>
      </c>
      <c r="J264" s="2">
        <v>48165693</v>
      </c>
      <c r="K264" s="2">
        <f>16833/3</f>
        <v>5611</v>
      </c>
    </row>
    <row r="265" spans="1:11" x14ac:dyDescent="0.2">
      <c r="A265" s="2" t="s">
        <v>20</v>
      </c>
      <c r="B265" s="2">
        <v>259</v>
      </c>
      <c r="C265" s="2">
        <v>37956</v>
      </c>
      <c r="D265" s="2">
        <v>351936381</v>
      </c>
      <c r="E265" s="2">
        <f>9350/3</f>
        <v>3116.6666666666665</v>
      </c>
      <c r="G265" s="2" t="s">
        <v>20</v>
      </c>
      <c r="H265" s="2">
        <v>20</v>
      </c>
      <c r="I265" s="2">
        <v>3124</v>
      </c>
      <c r="J265" s="2">
        <v>58277639</v>
      </c>
      <c r="K265" s="2">
        <f>18832/3</f>
        <v>6277.333333333333</v>
      </c>
    </row>
    <row r="266" spans="1:11" x14ac:dyDescent="0.2">
      <c r="A266" s="2" t="s">
        <v>21</v>
      </c>
      <c r="B266" s="2">
        <v>60</v>
      </c>
      <c r="C266" s="2">
        <v>20816</v>
      </c>
      <c r="D266" s="2">
        <v>210633292</v>
      </c>
      <c r="E266" s="2">
        <f>10216/3</f>
        <v>3405.3333333333335</v>
      </c>
      <c r="G266" s="2" t="s">
        <v>21</v>
      </c>
      <c r="H266" s="2">
        <v>8</v>
      </c>
      <c r="I266" s="2">
        <v>2766</v>
      </c>
      <c r="J266" s="2">
        <v>56703628</v>
      </c>
      <c r="K266" s="2">
        <f>20392/3</f>
        <v>6797.333333333333</v>
      </c>
    </row>
    <row r="267" spans="1:11" x14ac:dyDescent="0.2">
      <c r="A267" s="2" t="s">
        <v>23</v>
      </c>
      <c r="B267" s="2">
        <v>26</v>
      </c>
      <c r="C267" s="2">
        <v>17236</v>
      </c>
      <c r="D267" s="2">
        <v>174677880</v>
      </c>
      <c r="E267" s="2">
        <f>10245/3</f>
        <v>3415</v>
      </c>
      <c r="G267" s="2" t="s">
        <v>55</v>
      </c>
      <c r="H267" s="2">
        <v>3</v>
      </c>
      <c r="I267" s="2">
        <v>1660</v>
      </c>
      <c r="J267" s="2">
        <v>26082234</v>
      </c>
      <c r="K267" s="2">
        <f>15823/3</f>
        <v>5274.333333333333</v>
      </c>
    </row>
    <row r="268" spans="1:11" x14ac:dyDescent="0.2">
      <c r="A268" s="2" t="s">
        <v>24</v>
      </c>
      <c r="B268" s="2">
        <v>20</v>
      </c>
      <c r="C268" s="2">
        <v>79181</v>
      </c>
      <c r="D268" s="2">
        <v>948942572</v>
      </c>
      <c r="E268" s="2">
        <f>12133/3</f>
        <v>4044.3333333333335</v>
      </c>
      <c r="G268" s="2" t="s">
        <v>24</v>
      </c>
      <c r="H268" s="2">
        <v>4</v>
      </c>
      <c r="I268" s="2">
        <v>20941</v>
      </c>
      <c r="J268" s="2">
        <v>334638987</v>
      </c>
      <c r="K268" s="2">
        <f>16168/3</f>
        <v>5389.333333333333</v>
      </c>
    </row>
    <row r="271" spans="1:1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 spans="1:11" x14ac:dyDescent="0.2">
      <c r="A272" s="7" t="s">
        <v>47</v>
      </c>
      <c r="B272" s="7"/>
      <c r="C272" s="7"/>
      <c r="D272" s="7"/>
      <c r="E272" s="7"/>
      <c r="F272" s="6"/>
      <c r="G272" s="7" t="s">
        <v>48</v>
      </c>
      <c r="H272" s="7"/>
      <c r="I272" s="7"/>
      <c r="J272" s="7"/>
      <c r="K272" s="7"/>
    </row>
    <row r="274" spans="1:11" x14ac:dyDescent="0.2">
      <c r="B274" s="8"/>
      <c r="C274" s="8"/>
      <c r="D274" s="8" t="s">
        <v>2</v>
      </c>
      <c r="E274" s="8" t="s">
        <v>3</v>
      </c>
      <c r="H274" s="8"/>
      <c r="I274" s="8"/>
      <c r="J274" s="8" t="s">
        <v>2</v>
      </c>
      <c r="K274" s="8" t="s">
        <v>3</v>
      </c>
    </row>
    <row r="275" spans="1:11" x14ac:dyDescent="0.2">
      <c r="A275" s="9" t="s">
        <v>4</v>
      </c>
      <c r="B275" s="8" t="s">
        <v>5</v>
      </c>
      <c r="C275" s="8" t="s">
        <v>6</v>
      </c>
      <c r="D275" s="8" t="s">
        <v>7</v>
      </c>
      <c r="E275" s="8" t="s">
        <v>8</v>
      </c>
      <c r="G275" s="9" t="s">
        <v>4</v>
      </c>
      <c r="H275" s="8" t="s">
        <v>5</v>
      </c>
      <c r="I275" s="8" t="s">
        <v>6</v>
      </c>
      <c r="J275" s="8" t="s">
        <v>7</v>
      </c>
      <c r="K275" s="8" t="s">
        <v>8</v>
      </c>
    </row>
    <row r="276" spans="1:11" x14ac:dyDescent="0.2">
      <c r="A276" s="9" t="s">
        <v>9</v>
      </c>
      <c r="B276" s="8" t="s">
        <v>10</v>
      </c>
      <c r="C276" s="8" t="s">
        <v>11</v>
      </c>
      <c r="D276" s="8" t="s">
        <v>12</v>
      </c>
      <c r="E276" s="8" t="s">
        <v>13</v>
      </c>
      <c r="G276" s="9" t="s">
        <v>9</v>
      </c>
      <c r="H276" s="8" t="s">
        <v>10</v>
      </c>
      <c r="I276" s="8" t="s">
        <v>11</v>
      </c>
      <c r="J276" s="8" t="s">
        <v>12</v>
      </c>
      <c r="K276" s="8" t="s">
        <v>13</v>
      </c>
    </row>
    <row r="279" spans="1:11" x14ac:dyDescent="0.2">
      <c r="A279" s="13" t="s">
        <v>27</v>
      </c>
      <c r="B279" s="13">
        <f>SUM(B281:B292)</f>
        <v>27</v>
      </c>
      <c r="C279" s="13">
        <f>SUM(C281:C292)</f>
        <v>14193</v>
      </c>
      <c r="D279" s="14">
        <f>SUM(D281:D292)</f>
        <v>242661684</v>
      </c>
      <c r="E279" s="14">
        <f>16376/3</f>
        <v>5458.666666666667</v>
      </c>
      <c r="F279" s="13"/>
      <c r="G279" s="13" t="s">
        <v>27</v>
      </c>
      <c r="H279" s="13">
        <f>SUM(H281:H290)</f>
        <v>547</v>
      </c>
      <c r="I279" s="13">
        <f>SUM(I281:I290)</f>
        <v>79767</v>
      </c>
      <c r="J279" s="14">
        <f>SUM(J281:J290)</f>
        <v>848083893</v>
      </c>
      <c r="K279" s="14">
        <f>10754/3</f>
        <v>3584.6666666666665</v>
      </c>
    </row>
    <row r="280" spans="1:11" x14ac:dyDescent="0.2">
      <c r="A280" s="16"/>
      <c r="B280" s="16"/>
      <c r="C280" s="16"/>
      <c r="D280" s="16"/>
      <c r="E280" s="16"/>
      <c r="F280" s="16"/>
      <c r="G280" s="16" t="s">
        <v>28</v>
      </c>
      <c r="H280" s="16"/>
      <c r="I280" s="16"/>
      <c r="J280" s="16"/>
      <c r="K280" s="16"/>
    </row>
    <row r="281" spans="1:11" x14ac:dyDescent="0.2">
      <c r="A281" s="35">
        <v>0</v>
      </c>
      <c r="B281" s="16">
        <v>0</v>
      </c>
      <c r="C281" s="16">
        <v>0</v>
      </c>
      <c r="D281" s="16">
        <v>0</v>
      </c>
      <c r="E281" s="16">
        <f>9918/3</f>
        <v>3306</v>
      </c>
      <c r="F281" s="16"/>
      <c r="G281" s="35">
        <v>0</v>
      </c>
      <c r="H281" s="16">
        <v>4</v>
      </c>
      <c r="I281" s="16">
        <v>0</v>
      </c>
      <c r="J281" s="18">
        <v>0</v>
      </c>
      <c r="K281" s="18">
        <v>0</v>
      </c>
    </row>
    <row r="282" spans="1:11" x14ac:dyDescent="0.2">
      <c r="A282" s="17" t="s">
        <v>16</v>
      </c>
      <c r="B282" s="16">
        <v>8</v>
      </c>
      <c r="C282" s="16">
        <v>20</v>
      </c>
      <c r="D282" s="16">
        <v>330523</v>
      </c>
      <c r="E282" s="16">
        <f>12872/3</f>
        <v>4290.666666666667</v>
      </c>
      <c r="F282" s="16"/>
      <c r="G282" s="17" t="s">
        <v>16</v>
      </c>
      <c r="H282" s="16">
        <v>135</v>
      </c>
      <c r="I282" s="16">
        <v>321</v>
      </c>
      <c r="J282" s="16">
        <v>4686162</v>
      </c>
      <c r="K282" s="16">
        <f>14644/3</f>
        <v>4881.333333333333</v>
      </c>
    </row>
    <row r="283" spans="1:11" x14ac:dyDescent="0.2">
      <c r="A283" s="16" t="s">
        <v>17</v>
      </c>
      <c r="B283" s="16">
        <v>4</v>
      </c>
      <c r="C283" s="16">
        <v>28</v>
      </c>
      <c r="D283" s="16">
        <v>447920</v>
      </c>
      <c r="E283" s="16">
        <f>12466/3</f>
        <v>4155.333333333333</v>
      </c>
      <c r="F283" s="16"/>
      <c r="G283" s="16" t="s">
        <v>17</v>
      </c>
      <c r="H283" s="16">
        <v>90</v>
      </c>
      <c r="I283" s="16">
        <v>608</v>
      </c>
      <c r="J283" s="16">
        <v>7350446</v>
      </c>
      <c r="K283" s="16">
        <f>12116/3</f>
        <v>4038.6666666666665</v>
      </c>
    </row>
    <row r="284" spans="1:11" x14ac:dyDescent="0.2">
      <c r="A284" s="17" t="s">
        <v>56</v>
      </c>
      <c r="B284" s="16">
        <v>1</v>
      </c>
      <c r="C284" s="16">
        <v>14</v>
      </c>
      <c r="D284" s="16">
        <v>219936</v>
      </c>
      <c r="E284" s="16">
        <f>10325/3</f>
        <v>3441.6666666666665</v>
      </c>
      <c r="F284" s="16"/>
      <c r="G284" s="17" t="s">
        <v>56</v>
      </c>
      <c r="H284" s="16">
        <v>86</v>
      </c>
      <c r="I284" s="16">
        <v>1227</v>
      </c>
      <c r="J284" s="16">
        <v>11097538</v>
      </c>
      <c r="K284" s="16">
        <f>9111/3</f>
        <v>3037</v>
      </c>
    </row>
    <row r="285" spans="1:11" x14ac:dyDescent="0.2">
      <c r="A285" s="16" t="s">
        <v>18</v>
      </c>
      <c r="B285" s="16">
        <v>4</v>
      </c>
      <c r="C285" s="16">
        <v>121</v>
      </c>
      <c r="D285" s="16">
        <v>1803571</v>
      </c>
      <c r="E285" s="16">
        <f>13690/3</f>
        <v>4563.333333333333</v>
      </c>
      <c r="F285" s="16"/>
      <c r="G285" s="16" t="s">
        <v>18</v>
      </c>
      <c r="H285" s="16">
        <v>119</v>
      </c>
      <c r="I285" s="16">
        <v>3589</v>
      </c>
      <c r="J285" s="16">
        <v>38616110</v>
      </c>
      <c r="K285" s="16">
        <f>10810/3</f>
        <v>3603.3333333333335</v>
      </c>
    </row>
    <row r="286" spans="1:11" x14ac:dyDescent="0.2">
      <c r="A286" s="16" t="s">
        <v>19</v>
      </c>
      <c r="B286" s="16">
        <v>2</v>
      </c>
      <c r="C286" s="16">
        <v>134</v>
      </c>
      <c r="D286" s="16">
        <v>2119118</v>
      </c>
      <c r="E286" s="16">
        <f>13860/3</f>
        <v>4620</v>
      </c>
      <c r="F286" s="16"/>
      <c r="G286" s="16" t="s">
        <v>19</v>
      </c>
      <c r="H286" s="16">
        <v>44</v>
      </c>
      <c r="I286" s="16">
        <v>3039</v>
      </c>
      <c r="J286" s="16">
        <v>34879272</v>
      </c>
      <c r="K286" s="16">
        <f>11580/3</f>
        <v>3860</v>
      </c>
    </row>
    <row r="287" spans="1:11" x14ac:dyDescent="0.2">
      <c r="A287" s="16" t="s">
        <v>20</v>
      </c>
      <c r="B287" s="16">
        <v>4</v>
      </c>
      <c r="C287" s="16">
        <v>724</v>
      </c>
      <c r="D287" s="16">
        <v>13837129</v>
      </c>
      <c r="E287" s="16">
        <f>14402/3</f>
        <v>4800.666666666667</v>
      </c>
      <c r="F287" s="16"/>
      <c r="G287" s="16" t="s">
        <v>20</v>
      </c>
      <c r="H287" s="16">
        <v>23</v>
      </c>
      <c r="I287" s="16">
        <v>3836</v>
      </c>
      <c r="J287" s="16">
        <v>39550719</v>
      </c>
      <c r="K287" s="16">
        <f>10404/3</f>
        <v>3468</v>
      </c>
    </row>
    <row r="288" spans="1:11" x14ac:dyDescent="0.2">
      <c r="A288" s="16" t="s">
        <v>21</v>
      </c>
      <c r="B288" s="16">
        <v>2</v>
      </c>
      <c r="C288" s="16">
        <v>796</v>
      </c>
      <c r="D288" s="16">
        <v>15031135</v>
      </c>
      <c r="E288" s="16">
        <f>14230/3</f>
        <v>4743.333333333333</v>
      </c>
      <c r="F288" s="16"/>
      <c r="G288" s="16" t="s">
        <v>21</v>
      </c>
      <c r="H288" s="16">
        <v>20</v>
      </c>
      <c r="I288" s="16">
        <v>7387</v>
      </c>
      <c r="J288" s="16">
        <v>75011082</v>
      </c>
      <c r="K288" s="16">
        <f>10201/3</f>
        <v>3400.3333333333335</v>
      </c>
    </row>
    <row r="289" spans="1:11" x14ac:dyDescent="0.2">
      <c r="A289" s="16" t="s">
        <v>23</v>
      </c>
      <c r="B289" s="16">
        <v>1</v>
      </c>
      <c r="C289" s="16">
        <v>548</v>
      </c>
      <c r="D289" s="16">
        <v>8543252</v>
      </c>
      <c r="E289" s="16">
        <f>13979/3</f>
        <v>4659.666666666667</v>
      </c>
      <c r="F289" s="16"/>
      <c r="G289" s="16" t="s">
        <v>23</v>
      </c>
      <c r="H289" s="16">
        <v>11</v>
      </c>
      <c r="I289" s="16">
        <v>7288</v>
      </c>
      <c r="J289" s="16">
        <v>67553766</v>
      </c>
      <c r="K289" s="16">
        <f>9372/3</f>
        <v>3124</v>
      </c>
    </row>
    <row r="290" spans="1:11" x14ac:dyDescent="0.2">
      <c r="A290" s="16" t="s">
        <v>24</v>
      </c>
      <c r="B290" s="16">
        <v>1</v>
      </c>
      <c r="C290" s="16">
        <v>11808</v>
      </c>
      <c r="D290" s="16">
        <v>200329100</v>
      </c>
      <c r="E290" s="16">
        <f>16885/3</f>
        <v>5628.333333333333</v>
      </c>
      <c r="F290" s="16"/>
      <c r="G290" s="16" t="s">
        <v>24</v>
      </c>
      <c r="H290" s="16">
        <v>15</v>
      </c>
      <c r="I290" s="16">
        <v>52472</v>
      </c>
      <c r="J290" s="16">
        <v>569338798</v>
      </c>
      <c r="K290" s="16">
        <f>10998/3</f>
        <v>3666</v>
      </c>
    </row>
    <row r="291" spans="1:11" x14ac:dyDescent="0.2">
      <c r="B291" s="31"/>
      <c r="C291" s="31"/>
      <c r="D291" s="31"/>
      <c r="E291" s="31"/>
    </row>
    <row r="292" spans="1:11" x14ac:dyDescent="0.2">
      <c r="B292" s="31"/>
      <c r="C292" s="31"/>
      <c r="D292" s="31"/>
      <c r="E292" s="31"/>
    </row>
    <row r="293" spans="1:11" x14ac:dyDescent="0.2">
      <c r="A293" s="20" t="s">
        <v>62</v>
      </c>
      <c r="B293" s="21"/>
      <c r="C293" s="21"/>
      <c r="D293" s="21"/>
      <c r="E293" s="21"/>
      <c r="F293" s="21"/>
      <c r="G293" s="21"/>
      <c r="H293" s="21"/>
      <c r="I293" s="2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4.25" x14ac:dyDescent="0.2">
      <c r="A295" s="3" t="s">
        <v>63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5"/>
      <c r="B297" s="5"/>
      <c r="C297" s="5"/>
      <c r="D297" s="27"/>
      <c r="E297" s="28"/>
      <c r="F297" s="28"/>
      <c r="G297" s="28"/>
      <c r="H297" s="28"/>
      <c r="I297" s="5"/>
      <c r="J297" s="5"/>
      <c r="K297" s="5"/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1:1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 spans="1:11" x14ac:dyDescent="0.2">
      <c r="A300" s="7" t="s">
        <v>49</v>
      </c>
      <c r="B300" s="7"/>
      <c r="C300" s="7"/>
      <c r="D300" s="7"/>
      <c r="E300" s="7"/>
      <c r="F300" s="6"/>
      <c r="G300" s="7" t="s">
        <v>50</v>
      </c>
      <c r="H300" s="7"/>
      <c r="I300" s="7"/>
      <c r="J300" s="7"/>
      <c r="K300" s="7"/>
    </row>
    <row r="302" spans="1:11" x14ac:dyDescent="0.2">
      <c r="B302" s="8"/>
      <c r="C302" s="8"/>
      <c r="D302" s="8" t="s">
        <v>2</v>
      </c>
      <c r="E302" s="8" t="s">
        <v>3</v>
      </c>
      <c r="H302" s="8"/>
      <c r="I302" s="8"/>
      <c r="J302" s="8" t="s">
        <v>2</v>
      </c>
      <c r="K302" s="8" t="s">
        <v>3</v>
      </c>
    </row>
    <row r="303" spans="1:11" x14ac:dyDescent="0.2">
      <c r="A303" s="9" t="s">
        <v>4</v>
      </c>
      <c r="B303" s="8" t="s">
        <v>5</v>
      </c>
      <c r="C303" s="8" t="s">
        <v>6</v>
      </c>
      <c r="D303" s="8" t="s">
        <v>7</v>
      </c>
      <c r="E303" s="8" t="s">
        <v>8</v>
      </c>
      <c r="G303" s="9" t="s">
        <v>4</v>
      </c>
      <c r="H303" s="8" t="s">
        <v>5</v>
      </c>
      <c r="I303" s="8" t="s">
        <v>6</v>
      </c>
      <c r="J303" s="8" t="s">
        <v>7</v>
      </c>
      <c r="K303" s="8" t="s">
        <v>8</v>
      </c>
    </row>
    <row r="304" spans="1:11" x14ac:dyDescent="0.2">
      <c r="A304" s="9" t="s">
        <v>9</v>
      </c>
      <c r="B304" s="8" t="s">
        <v>10</v>
      </c>
      <c r="C304" s="8" t="s">
        <v>11</v>
      </c>
      <c r="D304" s="8" t="s">
        <v>12</v>
      </c>
      <c r="E304" s="8" t="s">
        <v>13</v>
      </c>
      <c r="G304" s="9" t="s">
        <v>9</v>
      </c>
      <c r="H304" s="8" t="s">
        <v>10</v>
      </c>
      <c r="I304" s="8" t="s">
        <v>11</v>
      </c>
      <c r="J304" s="8" t="s">
        <v>12</v>
      </c>
      <c r="K304" s="8" t="s">
        <v>13</v>
      </c>
    </row>
    <row r="307" spans="1:11" x14ac:dyDescent="0.2">
      <c r="A307" s="13" t="s">
        <v>27</v>
      </c>
      <c r="B307" s="13">
        <f>SUM(B309:B318)</f>
        <v>57</v>
      </c>
      <c r="C307" s="13">
        <f>SUM(C309:C318)</f>
        <v>48651</v>
      </c>
      <c r="D307" s="14">
        <f>SUM(D309:D318)</f>
        <v>463531724</v>
      </c>
      <c r="E307" s="14">
        <f>9688/3</f>
        <v>3229.3333333333335</v>
      </c>
      <c r="F307" s="13"/>
      <c r="G307" s="13" t="s">
        <v>27</v>
      </c>
      <c r="H307" s="13">
        <f>SUM(H309:H319)</f>
        <v>2661</v>
      </c>
      <c r="I307" s="13">
        <f>SUM(I309:I319)</f>
        <v>124914</v>
      </c>
      <c r="J307" s="14">
        <f>SUM(J309:J318)</f>
        <v>1024423854</v>
      </c>
      <c r="K307" s="14">
        <f>8260/3</f>
        <v>2753.3333333333335</v>
      </c>
    </row>
    <row r="308" spans="1:11" x14ac:dyDescent="0.2">
      <c r="A308" s="16" t="s">
        <v>28</v>
      </c>
      <c r="B308" s="16"/>
      <c r="C308" s="16"/>
      <c r="D308" s="16"/>
      <c r="E308" s="16"/>
      <c r="F308" s="16"/>
      <c r="G308" s="16" t="s">
        <v>28</v>
      </c>
      <c r="H308" s="16"/>
      <c r="I308" s="16"/>
      <c r="J308" s="16"/>
      <c r="K308" s="16"/>
    </row>
    <row r="309" spans="1:11" x14ac:dyDescent="0.2">
      <c r="A309" s="35">
        <v>0</v>
      </c>
      <c r="B309" s="16">
        <v>4</v>
      </c>
      <c r="C309" s="16">
        <v>0</v>
      </c>
      <c r="D309" s="18">
        <v>0</v>
      </c>
      <c r="E309" s="16">
        <f>0/3</f>
        <v>0</v>
      </c>
      <c r="F309" s="16"/>
      <c r="G309" s="16" t="s">
        <v>15</v>
      </c>
      <c r="H309" s="16">
        <v>37</v>
      </c>
      <c r="I309" s="16">
        <v>0</v>
      </c>
      <c r="J309" s="16">
        <v>22883</v>
      </c>
      <c r="K309" s="16">
        <f>2283/3</f>
        <v>761</v>
      </c>
    </row>
    <row r="310" spans="1:11" x14ac:dyDescent="0.2">
      <c r="A310" s="17" t="s">
        <v>16</v>
      </c>
      <c r="B310" s="16">
        <v>7</v>
      </c>
      <c r="C310" s="16">
        <v>11</v>
      </c>
      <c r="D310" s="16">
        <v>124446</v>
      </c>
      <c r="E310" s="16">
        <f>11667/3</f>
        <v>3889</v>
      </c>
      <c r="F310" s="16"/>
      <c r="G310" s="16" t="s">
        <v>16</v>
      </c>
      <c r="H310" s="16">
        <v>408</v>
      </c>
      <c r="I310" s="16">
        <v>1010</v>
      </c>
      <c r="J310" s="16">
        <v>7858044</v>
      </c>
      <c r="K310" s="16">
        <f>7634/3</f>
        <v>2544.6666666666665</v>
      </c>
    </row>
    <row r="311" spans="1:11" x14ac:dyDescent="0.2">
      <c r="A311" s="16" t="s">
        <v>17</v>
      </c>
      <c r="B311" s="16">
        <v>2</v>
      </c>
      <c r="C311" s="16">
        <v>18</v>
      </c>
      <c r="D311" s="16">
        <v>79839</v>
      </c>
      <c r="E311" s="36">
        <f>4696/3</f>
        <v>1565.3333333333333</v>
      </c>
      <c r="F311" s="16"/>
      <c r="G311" s="16" t="s">
        <v>17</v>
      </c>
      <c r="H311" s="16">
        <v>458</v>
      </c>
      <c r="I311" s="16">
        <v>3029</v>
      </c>
      <c r="J311" s="16">
        <v>21205713</v>
      </c>
      <c r="K311" s="16">
        <f>6972/3</f>
        <v>2324</v>
      </c>
    </row>
    <row r="312" spans="1:11" x14ac:dyDescent="0.2">
      <c r="A312" s="17" t="s">
        <v>56</v>
      </c>
      <c r="B312" s="16">
        <v>7</v>
      </c>
      <c r="C312" s="16">
        <v>94</v>
      </c>
      <c r="D312" s="16">
        <v>883482</v>
      </c>
      <c r="E312" s="16">
        <f>9603/3</f>
        <v>3201</v>
      </c>
      <c r="F312" s="16"/>
      <c r="G312" s="17" t="s">
        <v>56</v>
      </c>
      <c r="H312" s="16">
        <v>354</v>
      </c>
      <c r="I312" s="16">
        <v>4937</v>
      </c>
      <c r="J312" s="16">
        <v>42660264</v>
      </c>
      <c r="K312" s="16">
        <f>8799/3</f>
        <v>2933</v>
      </c>
    </row>
    <row r="313" spans="1:11" x14ac:dyDescent="0.2">
      <c r="A313" s="16" t="s">
        <v>18</v>
      </c>
      <c r="B313" s="16">
        <v>5</v>
      </c>
      <c r="C313" s="16">
        <v>204</v>
      </c>
      <c r="D313" s="16">
        <v>1297628</v>
      </c>
      <c r="E313" s="16">
        <f>6576/3</f>
        <v>2192</v>
      </c>
      <c r="F313" s="16"/>
      <c r="G313" s="16" t="s">
        <v>18</v>
      </c>
      <c r="H313" s="16">
        <v>525</v>
      </c>
      <c r="I313" s="16">
        <v>17658</v>
      </c>
      <c r="J313" s="16">
        <v>147705815</v>
      </c>
      <c r="K313" s="16">
        <f>8422/3</f>
        <v>2807.3333333333335</v>
      </c>
    </row>
    <row r="314" spans="1:11" x14ac:dyDescent="0.2">
      <c r="A314" s="16" t="s">
        <v>19</v>
      </c>
      <c r="B314" s="16">
        <v>6</v>
      </c>
      <c r="C314" s="16">
        <v>468</v>
      </c>
      <c r="D314" s="16">
        <v>2678816</v>
      </c>
      <c r="E314" s="16">
        <f>5944/3</f>
        <v>1981.3333333333333</v>
      </c>
      <c r="F314" s="16"/>
      <c r="G314" s="16" t="s">
        <v>19</v>
      </c>
      <c r="H314" s="16">
        <v>618</v>
      </c>
      <c r="I314" s="16">
        <v>42565</v>
      </c>
      <c r="J314" s="16">
        <v>345937863</v>
      </c>
      <c r="K314" s="16">
        <f>8160/3</f>
        <v>2720</v>
      </c>
    </row>
    <row r="315" spans="1:11" x14ac:dyDescent="0.2">
      <c r="A315" s="16" t="s">
        <v>20</v>
      </c>
      <c r="B315" s="16">
        <v>6</v>
      </c>
      <c r="C315" s="16">
        <v>1053</v>
      </c>
      <c r="D315" s="16">
        <v>5867120</v>
      </c>
      <c r="E315" s="16">
        <f>5748/3</f>
        <v>1916</v>
      </c>
      <c r="F315" s="16"/>
      <c r="G315" s="16" t="s">
        <v>20</v>
      </c>
      <c r="H315" s="16">
        <v>216</v>
      </c>
      <c r="I315" s="16">
        <v>30996</v>
      </c>
      <c r="J315" s="16">
        <v>254108023</v>
      </c>
      <c r="K315" s="16">
        <f>8265/3</f>
        <v>2755</v>
      </c>
    </row>
    <row r="316" spans="1:11" x14ac:dyDescent="0.2">
      <c r="A316" s="16" t="s">
        <v>21</v>
      </c>
      <c r="B316" s="16">
        <v>4</v>
      </c>
      <c r="C316" s="16">
        <v>1387</v>
      </c>
      <c r="D316" s="16">
        <v>6921474</v>
      </c>
      <c r="E316" s="16">
        <f>4984/3</f>
        <v>1661.3333333333333</v>
      </c>
      <c r="F316" s="16"/>
      <c r="G316" s="16" t="s">
        <v>21</v>
      </c>
      <c r="H316" s="16">
        <v>32</v>
      </c>
      <c r="I316" s="16">
        <v>10663</v>
      </c>
      <c r="J316" s="16">
        <v>78918582</v>
      </c>
      <c r="K316" s="16">
        <f>7528/3</f>
        <v>2509.3333333333335</v>
      </c>
    </row>
    <row r="317" spans="1:11" x14ac:dyDescent="0.2">
      <c r="A317" s="16" t="s">
        <v>23</v>
      </c>
      <c r="B317" s="16">
        <v>4</v>
      </c>
      <c r="C317" s="16">
        <v>2236</v>
      </c>
      <c r="D317" s="16">
        <v>8912347</v>
      </c>
      <c r="E317" s="16">
        <f>4106/3</f>
        <v>1368.6666666666667</v>
      </c>
      <c r="F317" s="16"/>
      <c r="G317" s="16" t="s">
        <v>23</v>
      </c>
      <c r="H317" s="16">
        <v>12</v>
      </c>
      <c r="I317" s="16">
        <v>8288</v>
      </c>
      <c r="J317" s="16">
        <v>81041880</v>
      </c>
      <c r="K317" s="16">
        <f>9829/3</f>
        <v>3276.3333333333335</v>
      </c>
    </row>
    <row r="318" spans="1:11" x14ac:dyDescent="0.2">
      <c r="A318" s="16" t="s">
        <v>24</v>
      </c>
      <c r="B318" s="16">
        <v>12</v>
      </c>
      <c r="C318" s="16">
        <v>43180</v>
      </c>
      <c r="D318" s="16">
        <v>436766572</v>
      </c>
      <c r="E318" s="16">
        <f>10277/3</f>
        <v>3425.6666666666665</v>
      </c>
      <c r="F318" s="16"/>
      <c r="G318" s="16" t="s">
        <v>24</v>
      </c>
      <c r="H318" s="16">
        <v>1</v>
      </c>
      <c r="I318" s="16">
        <v>5768</v>
      </c>
      <c r="J318" s="16">
        <v>44964787</v>
      </c>
      <c r="K318" s="16">
        <f>7829/3</f>
        <v>2609.6666666666665</v>
      </c>
    </row>
    <row r="319" spans="1:11" x14ac:dyDescent="0.2">
      <c r="E319" s="2" t="s">
        <v>28</v>
      </c>
    </row>
    <row r="321" spans="1:1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pans="1:11" x14ac:dyDescent="0.2">
      <c r="A322" s="7" t="s">
        <v>51</v>
      </c>
      <c r="B322" s="7"/>
      <c r="C322" s="7"/>
      <c r="D322" s="7"/>
      <c r="E322" s="7"/>
      <c r="F322" s="6"/>
      <c r="G322" s="7" t="s">
        <v>52</v>
      </c>
      <c r="H322" s="7"/>
      <c r="I322" s="7"/>
      <c r="J322" s="7"/>
      <c r="K322" s="7"/>
    </row>
    <row r="324" spans="1:11" x14ac:dyDescent="0.2">
      <c r="B324" s="8"/>
      <c r="C324" s="8"/>
      <c r="D324" s="8" t="s">
        <v>2</v>
      </c>
      <c r="E324" s="8" t="s">
        <v>3</v>
      </c>
      <c r="H324" s="8"/>
      <c r="I324" s="8"/>
      <c r="J324" s="8" t="s">
        <v>2</v>
      </c>
      <c r="K324" s="8" t="s">
        <v>3</v>
      </c>
    </row>
    <row r="325" spans="1:11" x14ac:dyDescent="0.2">
      <c r="A325" s="9" t="s">
        <v>4</v>
      </c>
      <c r="B325" s="8" t="s">
        <v>5</v>
      </c>
      <c r="C325" s="8" t="s">
        <v>6</v>
      </c>
      <c r="D325" s="8" t="s">
        <v>7</v>
      </c>
      <c r="E325" s="8" t="s">
        <v>8</v>
      </c>
      <c r="G325" s="9" t="s">
        <v>4</v>
      </c>
      <c r="H325" s="8" t="s">
        <v>5</v>
      </c>
      <c r="I325" s="8" t="s">
        <v>6</v>
      </c>
      <c r="J325" s="8" t="s">
        <v>7</v>
      </c>
      <c r="K325" s="8" t="s">
        <v>8</v>
      </c>
    </row>
    <row r="326" spans="1:11" x14ac:dyDescent="0.2">
      <c r="A326" s="9" t="s">
        <v>9</v>
      </c>
      <c r="B326" s="8" t="s">
        <v>10</v>
      </c>
      <c r="C326" s="8" t="s">
        <v>11</v>
      </c>
      <c r="D326" s="8" t="s">
        <v>12</v>
      </c>
      <c r="E326" s="8" t="s">
        <v>13</v>
      </c>
      <c r="G326" s="9" t="s">
        <v>9</v>
      </c>
      <c r="H326" s="8" t="s">
        <v>10</v>
      </c>
      <c r="I326" s="8" t="s">
        <v>11</v>
      </c>
      <c r="J326" s="8" t="s">
        <v>12</v>
      </c>
      <c r="K326" s="8" t="s">
        <v>13</v>
      </c>
    </row>
    <row r="329" spans="1:11" x14ac:dyDescent="0.2">
      <c r="A329" s="13" t="s">
        <v>27</v>
      </c>
      <c r="B329" s="13">
        <f>SUM(B331:B340)</f>
        <v>1022</v>
      </c>
      <c r="C329" s="13">
        <f>SUM(C331:C340)</f>
        <v>71796</v>
      </c>
      <c r="D329" s="14">
        <f>SUM(D331:D340)</f>
        <v>558198506</v>
      </c>
      <c r="E329" s="14">
        <f>7383/3</f>
        <v>2461</v>
      </c>
      <c r="F329" s="13"/>
      <c r="G329" s="13" t="s">
        <v>27</v>
      </c>
      <c r="H329" s="13">
        <f>SUM(H331:H340)</f>
        <v>89412</v>
      </c>
      <c r="I329" s="13">
        <f>SUM(I331:I340)</f>
        <v>1169595</v>
      </c>
      <c r="J329" s="14">
        <f>SUM(J331:J340)</f>
        <v>12675423869</v>
      </c>
      <c r="K329" s="14">
        <f>10917/3</f>
        <v>3639</v>
      </c>
    </row>
    <row r="330" spans="1:11" x14ac:dyDescent="0.2">
      <c r="A330" s="16" t="s">
        <v>28</v>
      </c>
      <c r="B330" s="16"/>
      <c r="C330" s="16"/>
      <c r="D330" s="16"/>
      <c r="E330" s="16"/>
      <c r="F330" s="16"/>
      <c r="G330" s="16" t="s">
        <v>28</v>
      </c>
      <c r="H330" s="16"/>
      <c r="I330" s="16"/>
      <c r="J330" s="16"/>
      <c r="K330" s="16"/>
    </row>
    <row r="331" spans="1:11" x14ac:dyDescent="0.2">
      <c r="A331" s="35">
        <v>0</v>
      </c>
      <c r="B331" s="16">
        <v>7</v>
      </c>
      <c r="C331" s="16">
        <v>0</v>
      </c>
      <c r="D331" s="16">
        <v>5885</v>
      </c>
      <c r="E331" s="16">
        <f>8828/3</f>
        <v>2942.6666666666665</v>
      </c>
      <c r="F331" s="16"/>
      <c r="G331" s="16" t="s">
        <v>15</v>
      </c>
      <c r="H331" s="16">
        <v>11655</v>
      </c>
      <c r="I331" s="16">
        <v>0</v>
      </c>
      <c r="J331" s="16">
        <v>52385711</v>
      </c>
      <c r="K331" s="16">
        <f>12436/3</f>
        <v>4145.333333333333</v>
      </c>
    </row>
    <row r="332" spans="1:11" x14ac:dyDescent="0.2">
      <c r="A332" s="17" t="s">
        <v>16</v>
      </c>
      <c r="B332" s="16">
        <v>22</v>
      </c>
      <c r="C332" s="16">
        <v>56</v>
      </c>
      <c r="D332" s="16">
        <v>480998</v>
      </c>
      <c r="E332" s="16">
        <f>8799/3</f>
        <v>2933</v>
      </c>
      <c r="F332" s="16"/>
      <c r="G332" s="16" t="s">
        <v>16</v>
      </c>
      <c r="H332" s="16">
        <v>42434</v>
      </c>
      <c r="I332" s="16">
        <v>78111</v>
      </c>
      <c r="J332" s="16">
        <v>897214406</v>
      </c>
      <c r="K332" s="16">
        <f>11653/3</f>
        <v>3884.3333333333335</v>
      </c>
    </row>
    <row r="333" spans="1:11" x14ac:dyDescent="0.2">
      <c r="A333" s="16" t="s">
        <v>17</v>
      </c>
      <c r="B333" s="16">
        <v>54</v>
      </c>
      <c r="C333" s="16">
        <v>328</v>
      </c>
      <c r="D333" s="16">
        <v>1717180</v>
      </c>
      <c r="E333" s="16">
        <f>5214/3</f>
        <v>1738</v>
      </c>
      <c r="F333" s="16"/>
      <c r="G333" s="16" t="s">
        <v>17</v>
      </c>
      <c r="H333" s="16">
        <v>13937</v>
      </c>
      <c r="I333" s="16">
        <v>92747</v>
      </c>
      <c r="J333" s="16">
        <v>843157823</v>
      </c>
      <c r="K333" s="16">
        <f>9240/3</f>
        <v>3080</v>
      </c>
    </row>
    <row r="334" spans="1:11" x14ac:dyDescent="0.2">
      <c r="A334" s="17" t="s">
        <v>56</v>
      </c>
      <c r="B334" s="16">
        <v>56</v>
      </c>
      <c r="C334" s="16">
        <v>813</v>
      </c>
      <c r="D334" s="16">
        <v>6526211</v>
      </c>
      <c r="E334" s="16">
        <f>8097/3</f>
        <v>2699</v>
      </c>
      <c r="F334" s="16"/>
      <c r="G334" s="17" t="s">
        <v>56</v>
      </c>
      <c r="H334" s="16">
        <v>10280</v>
      </c>
      <c r="I334" s="16">
        <v>139627</v>
      </c>
      <c r="J334" s="16">
        <v>1210384444</v>
      </c>
      <c r="K334" s="16">
        <f>8789/3</f>
        <v>2929.6666666666665</v>
      </c>
    </row>
    <row r="335" spans="1:11" x14ac:dyDescent="0.2">
      <c r="A335" s="16" t="s">
        <v>18</v>
      </c>
      <c r="B335" s="16">
        <v>214</v>
      </c>
      <c r="C335" s="16">
        <v>8052</v>
      </c>
      <c r="D335" s="16">
        <v>64475715</v>
      </c>
      <c r="E335" s="16">
        <f>8054/3</f>
        <v>2684.6666666666665</v>
      </c>
      <c r="F335" s="16"/>
      <c r="G335" s="16" t="s">
        <v>18</v>
      </c>
      <c r="H335" s="16">
        <v>7117</v>
      </c>
      <c r="I335" s="16">
        <v>212930</v>
      </c>
      <c r="J335" s="16">
        <v>1989662536</v>
      </c>
      <c r="K335" s="16">
        <f>9464/3</f>
        <v>3154.6666666666665</v>
      </c>
    </row>
    <row r="336" spans="1:11" x14ac:dyDescent="0.2">
      <c r="A336" s="16" t="s">
        <v>19</v>
      </c>
      <c r="B336" s="16">
        <v>509</v>
      </c>
      <c r="C336" s="16">
        <v>34998</v>
      </c>
      <c r="D336" s="16">
        <v>275007185</v>
      </c>
      <c r="E336" s="16">
        <f>7898/3</f>
        <v>2632.6666666666665</v>
      </c>
      <c r="F336" s="16"/>
      <c r="G336" s="16" t="s">
        <v>19</v>
      </c>
      <c r="H336" s="16">
        <v>2297</v>
      </c>
      <c r="I336" s="16">
        <v>156627</v>
      </c>
      <c r="J336" s="16">
        <v>1630225929</v>
      </c>
      <c r="K336" s="16">
        <f>10530/3</f>
        <v>3510</v>
      </c>
    </row>
    <row r="337" spans="1:11" x14ac:dyDescent="0.2">
      <c r="A337" s="16" t="s">
        <v>20</v>
      </c>
      <c r="B337" s="16">
        <v>142</v>
      </c>
      <c r="C337" s="16">
        <v>19675</v>
      </c>
      <c r="D337" s="16">
        <v>162329598</v>
      </c>
      <c r="E337" s="16">
        <f>8314/3</f>
        <v>2771.3333333333335</v>
      </c>
      <c r="F337" s="16"/>
      <c r="G337" s="16" t="s">
        <v>20</v>
      </c>
      <c r="H337" s="16">
        <v>1199</v>
      </c>
      <c r="I337" s="16">
        <v>179965</v>
      </c>
      <c r="J337" s="16">
        <v>2095909320</v>
      </c>
      <c r="K337" s="16">
        <f>11809/3</f>
        <v>3936.3333333333335</v>
      </c>
    </row>
    <row r="338" spans="1:11" x14ac:dyDescent="0.2">
      <c r="A338" s="16" t="s">
        <v>21</v>
      </c>
      <c r="B338" s="16">
        <v>13</v>
      </c>
      <c r="C338" s="16">
        <v>4145</v>
      </c>
      <c r="D338" s="16">
        <v>23605054</v>
      </c>
      <c r="E338" s="16">
        <f>5852/3</f>
        <v>1950.6666666666667</v>
      </c>
      <c r="F338" s="16"/>
      <c r="G338" s="16" t="s">
        <v>21</v>
      </c>
      <c r="H338" s="16">
        <v>318</v>
      </c>
      <c r="I338" s="16">
        <v>109826</v>
      </c>
      <c r="J338" s="16">
        <v>1447305942</v>
      </c>
      <c r="K338" s="16">
        <f>13250/3</f>
        <v>4416.666666666667</v>
      </c>
    </row>
    <row r="339" spans="1:11" x14ac:dyDescent="0.2">
      <c r="A339" s="16" t="s">
        <v>31</v>
      </c>
      <c r="B339" s="16">
        <v>5</v>
      </c>
      <c r="C339" s="16">
        <v>3729</v>
      </c>
      <c r="D339" s="16">
        <v>24050680</v>
      </c>
      <c r="E339" s="16">
        <f>6596/3</f>
        <v>2198.6666666666665</v>
      </c>
      <c r="F339" s="16"/>
      <c r="G339" s="16" t="s">
        <v>23</v>
      </c>
      <c r="H339" s="16">
        <v>117</v>
      </c>
      <c r="I339" s="16">
        <v>78874</v>
      </c>
      <c r="J339" s="16">
        <v>1041240025</v>
      </c>
      <c r="K339" s="16">
        <f>13277/3</f>
        <v>4425.666666666667</v>
      </c>
    </row>
    <row r="340" spans="1:11" x14ac:dyDescent="0.2">
      <c r="A340" s="16"/>
      <c r="B340" s="16"/>
      <c r="C340" s="16"/>
      <c r="D340" s="16"/>
      <c r="E340" s="16"/>
      <c r="F340" s="16"/>
      <c r="G340" s="16" t="s">
        <v>24</v>
      </c>
      <c r="H340" s="16">
        <v>58</v>
      </c>
      <c r="I340" s="16">
        <v>120888</v>
      </c>
      <c r="J340" s="16">
        <v>1467937733</v>
      </c>
      <c r="K340" s="16">
        <f>12165/3</f>
        <v>4055</v>
      </c>
    </row>
    <row r="343" spans="1:11" x14ac:dyDescent="0.2">
      <c r="A343" s="20" t="s">
        <v>62</v>
      </c>
      <c r="B343" s="21"/>
      <c r="C343" s="21"/>
      <c r="D343" s="21"/>
      <c r="E343" s="21"/>
      <c r="F343" s="21"/>
      <c r="G343" s="21"/>
      <c r="H343" s="21"/>
      <c r="I343" s="21"/>
    </row>
    <row r="379" spans="11:11" x14ac:dyDescent="0.2">
      <c r="K379" s="37"/>
    </row>
    <row r="455" spans="5:5" x14ac:dyDescent="0.2">
      <c r="E455" s="37"/>
    </row>
    <row r="476" spans="5:5" x14ac:dyDescent="0.2">
      <c r="E476" s="37"/>
    </row>
    <row r="575" spans="11:11" x14ac:dyDescent="0.2">
      <c r="K575" s="38"/>
    </row>
    <row r="651" spans="11:11" x14ac:dyDescent="0.2">
      <c r="K651" s="37"/>
    </row>
    <row r="703" spans="5:5" x14ac:dyDescent="0.2">
      <c r="E703" s="37"/>
    </row>
    <row r="725" spans="5:11" x14ac:dyDescent="0.2">
      <c r="E725" s="37"/>
      <c r="K725" s="37"/>
    </row>
    <row r="754" spans="5:5" x14ac:dyDescent="0.2">
      <c r="E754" s="37"/>
    </row>
    <row r="776" spans="5:11" x14ac:dyDescent="0.2">
      <c r="E776" s="37"/>
      <c r="K776" s="37"/>
    </row>
  </sheetData>
  <mergeCells count="45">
    <mergeCell ref="A2:K2"/>
    <mergeCell ref="A54:K54"/>
    <mergeCell ref="A100:K100"/>
    <mergeCell ref="A149:K149"/>
    <mergeCell ref="A197:K197"/>
    <mergeCell ref="A7:E7"/>
    <mergeCell ref="G7:K7"/>
    <mergeCell ref="A29:E29"/>
    <mergeCell ref="G29:K29"/>
    <mergeCell ref="A59:E59"/>
    <mergeCell ref="G59:K59"/>
    <mergeCell ref="A80:E80"/>
    <mergeCell ref="G80:K80"/>
    <mergeCell ref="A50:I50"/>
    <mergeCell ref="A98:I98"/>
    <mergeCell ref="G175:K175"/>
    <mergeCell ref="A343:I343"/>
    <mergeCell ref="D199:H199"/>
    <mergeCell ref="D247:H247"/>
    <mergeCell ref="A105:E105"/>
    <mergeCell ref="A245:K245"/>
    <mergeCell ref="A295:K295"/>
    <mergeCell ref="A146:I146"/>
    <mergeCell ref="G105:K105"/>
    <mergeCell ref="A126:E126"/>
    <mergeCell ref="G126:K126"/>
    <mergeCell ref="A195:I195"/>
    <mergeCell ref="A243:I243"/>
    <mergeCell ref="A293:I293"/>
    <mergeCell ref="A154:E154"/>
    <mergeCell ref="G154:K154"/>
    <mergeCell ref="A175:F175"/>
    <mergeCell ref="A202:E202"/>
    <mergeCell ref="G202:K202"/>
    <mergeCell ref="A300:E300"/>
    <mergeCell ref="G300:K300"/>
    <mergeCell ref="A322:E322"/>
    <mergeCell ref="G322:K322"/>
    <mergeCell ref="A223:E223"/>
    <mergeCell ref="G223:K223"/>
    <mergeCell ref="A250:E250"/>
    <mergeCell ref="G250:K250"/>
    <mergeCell ref="A272:E272"/>
    <mergeCell ref="G272:K272"/>
    <mergeCell ref="D297:H297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98" max="16383" man="1"/>
    <brk id="147" max="16383" man="1"/>
    <brk id="195" max="16383" man="1"/>
    <brk id="243" max="16383" man="1"/>
    <brk id="2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TABLE16</vt:lpstr>
      <vt:lpstr>TABLE16!Print_Area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DTSAdmin</cp:lastModifiedBy>
  <cp:lastPrinted>2017-10-25T20:11:28Z</cp:lastPrinted>
  <dcterms:created xsi:type="dcterms:W3CDTF">2002-12-20T22:52:14Z</dcterms:created>
  <dcterms:modified xsi:type="dcterms:W3CDTF">2017-10-25T20:11:33Z</dcterms:modified>
</cp:coreProperties>
</file>