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150" windowWidth="7530" windowHeight="4890"/>
  </bookViews>
  <sheets>
    <sheet name="TABLE16" sheetId="1" r:id="rId1"/>
  </sheets>
  <definedNames>
    <definedName name="_xlnm.Print_Area" localSheetId="0">TABLE16!$A$1:$K$346</definedName>
    <definedName name="_xlnm.Print_Area">TABLE16!$P$646:$V$696</definedName>
  </definedNames>
  <calcPr calcId="145621"/>
</workbook>
</file>

<file path=xl/calcChain.xml><?xml version="1.0" encoding="utf-8"?>
<calcChain xmlns="http://schemas.openxmlformats.org/spreadsheetml/2006/main">
  <c r="K340" i="1" l="1"/>
  <c r="K339" i="1"/>
  <c r="E339" i="1"/>
  <c r="K338" i="1"/>
  <c r="E338" i="1"/>
  <c r="K337" i="1"/>
  <c r="E337" i="1"/>
  <c r="K336" i="1"/>
  <c r="E336" i="1"/>
  <c r="K335" i="1"/>
  <c r="E335" i="1"/>
  <c r="K334" i="1"/>
  <c r="E334" i="1"/>
  <c r="K333" i="1"/>
  <c r="E333" i="1"/>
  <c r="K332" i="1"/>
  <c r="E332" i="1"/>
  <c r="K331" i="1"/>
  <c r="E331" i="1"/>
  <c r="K329" i="1"/>
  <c r="J329" i="1"/>
  <c r="I329" i="1"/>
  <c r="H329" i="1"/>
  <c r="E329" i="1"/>
  <c r="D329" i="1"/>
  <c r="C329" i="1"/>
  <c r="B329" i="1"/>
  <c r="K318" i="1"/>
  <c r="E318" i="1"/>
  <c r="K317" i="1"/>
  <c r="E317" i="1"/>
  <c r="K316" i="1"/>
  <c r="E316" i="1"/>
  <c r="K315" i="1"/>
  <c r="E315" i="1"/>
  <c r="K314" i="1"/>
  <c r="E314" i="1"/>
  <c r="K313" i="1"/>
  <c r="E313" i="1"/>
  <c r="K312" i="1"/>
  <c r="E312" i="1"/>
  <c r="K311" i="1"/>
  <c r="E311" i="1"/>
  <c r="K310" i="1"/>
  <c r="E310" i="1"/>
  <c r="K309" i="1"/>
  <c r="K307" i="1"/>
  <c r="J307" i="1"/>
  <c r="I307" i="1"/>
  <c r="H307" i="1"/>
  <c r="E307" i="1"/>
  <c r="D307" i="1"/>
  <c r="C307" i="1"/>
  <c r="B307" i="1"/>
  <c r="K290" i="1"/>
  <c r="E290" i="1"/>
  <c r="K289" i="1"/>
  <c r="E289" i="1"/>
  <c r="K288" i="1"/>
  <c r="E288" i="1"/>
  <c r="K287" i="1"/>
  <c r="E287" i="1"/>
  <c r="K286" i="1"/>
  <c r="E286" i="1"/>
  <c r="K285" i="1"/>
  <c r="E285" i="1"/>
  <c r="K284" i="1"/>
  <c r="E284" i="1"/>
  <c r="K283" i="1"/>
  <c r="E283" i="1"/>
  <c r="K282" i="1"/>
  <c r="E282" i="1"/>
  <c r="E281" i="1"/>
  <c r="K279" i="1"/>
  <c r="J279" i="1"/>
  <c r="I279" i="1"/>
  <c r="H279" i="1"/>
  <c r="E279" i="1"/>
  <c r="D279" i="1"/>
  <c r="C279" i="1"/>
  <c r="B279" i="1"/>
  <c r="K268" i="1"/>
  <c r="E268" i="1"/>
  <c r="K267" i="1"/>
  <c r="E267" i="1"/>
  <c r="K266" i="1"/>
  <c r="E266" i="1"/>
  <c r="K265" i="1"/>
  <c r="E265" i="1"/>
  <c r="K264" i="1"/>
  <c r="E264" i="1"/>
  <c r="K263" i="1"/>
  <c r="E263" i="1"/>
  <c r="K262" i="1"/>
  <c r="E262" i="1"/>
  <c r="K261" i="1"/>
  <c r="E261" i="1"/>
  <c r="K260" i="1"/>
  <c r="E260" i="1"/>
  <c r="K259" i="1"/>
  <c r="E259" i="1"/>
  <c r="K257" i="1"/>
  <c r="J257" i="1"/>
  <c r="I257" i="1"/>
  <c r="H257" i="1"/>
  <c r="E257" i="1"/>
  <c r="D257" i="1"/>
  <c r="C257" i="1"/>
  <c r="B257" i="1"/>
  <c r="E239" i="1"/>
  <c r="E238" i="1"/>
  <c r="E237" i="1"/>
  <c r="E236" i="1"/>
  <c r="E235" i="1"/>
  <c r="E234" i="1"/>
  <c r="E233" i="1"/>
  <c r="E232" i="1"/>
  <c r="H230" i="1"/>
  <c r="E230" i="1"/>
  <c r="D230" i="1"/>
  <c r="C230" i="1"/>
  <c r="B230" i="1"/>
  <c r="E220" i="1"/>
  <c r="E219" i="1"/>
  <c r="K218" i="1"/>
  <c r="E218" i="1"/>
  <c r="K217" i="1"/>
  <c r="E217" i="1"/>
  <c r="K216" i="1"/>
  <c r="E216" i="1"/>
  <c r="K215" i="1"/>
  <c r="E215" i="1"/>
  <c r="K214" i="1"/>
  <c r="E214" i="1"/>
  <c r="K213" i="1"/>
  <c r="E213" i="1"/>
  <c r="K212" i="1"/>
  <c r="E212" i="1"/>
  <c r="K211" i="1"/>
  <c r="E211" i="1"/>
  <c r="K209" i="1"/>
  <c r="J209" i="1"/>
  <c r="I209" i="1"/>
  <c r="H209" i="1"/>
  <c r="E209" i="1"/>
  <c r="D209" i="1"/>
  <c r="C209" i="1"/>
  <c r="B209" i="1"/>
  <c r="E193" i="1"/>
  <c r="E192" i="1"/>
  <c r="K191" i="1"/>
  <c r="E191" i="1"/>
  <c r="K190" i="1"/>
  <c r="E190" i="1"/>
  <c r="K189" i="1"/>
  <c r="E189" i="1"/>
  <c r="K188" i="1"/>
  <c r="E188" i="1"/>
  <c r="K187" i="1"/>
  <c r="E187" i="1"/>
  <c r="K186" i="1"/>
  <c r="E186" i="1"/>
  <c r="K185" i="1"/>
  <c r="E185" i="1"/>
  <c r="K184" i="1"/>
  <c r="E184" i="1"/>
  <c r="K182" i="1"/>
  <c r="J182" i="1"/>
  <c r="I182" i="1"/>
  <c r="H182" i="1"/>
  <c r="E182" i="1"/>
  <c r="D182" i="1"/>
  <c r="C182" i="1"/>
  <c r="B182" i="1"/>
  <c r="E171" i="1"/>
  <c r="K170" i="1"/>
  <c r="E170" i="1"/>
  <c r="K169" i="1"/>
  <c r="E169" i="1"/>
  <c r="K168" i="1"/>
  <c r="E168" i="1"/>
  <c r="K167" i="1"/>
  <c r="E167" i="1"/>
  <c r="K166" i="1"/>
  <c r="E166" i="1"/>
  <c r="K165" i="1"/>
  <c r="E165" i="1"/>
  <c r="K164" i="1"/>
  <c r="E164" i="1"/>
  <c r="K163" i="1"/>
  <c r="E163" i="1"/>
  <c r="K161" i="1"/>
  <c r="J161" i="1"/>
  <c r="I161" i="1"/>
  <c r="H161" i="1"/>
  <c r="E161" i="1"/>
  <c r="D161" i="1"/>
  <c r="C161" i="1"/>
  <c r="B161" i="1"/>
  <c r="E144" i="1"/>
  <c r="E143" i="1"/>
  <c r="E142" i="1"/>
  <c r="E141" i="1"/>
  <c r="K140" i="1"/>
  <c r="E140" i="1"/>
  <c r="K139" i="1"/>
  <c r="E139" i="1"/>
  <c r="K138" i="1"/>
  <c r="E138" i="1"/>
  <c r="K137" i="1"/>
  <c r="E137" i="1"/>
  <c r="K136" i="1"/>
  <c r="E136" i="1"/>
  <c r="K135" i="1"/>
  <c r="E135" i="1"/>
  <c r="K133" i="1"/>
  <c r="J133" i="1"/>
  <c r="I133" i="1"/>
  <c r="H133" i="1"/>
  <c r="E133" i="1"/>
  <c r="D133" i="1"/>
  <c r="C133" i="1"/>
  <c r="B133" i="1"/>
  <c r="K123" i="1"/>
  <c r="E123" i="1"/>
  <c r="K122" i="1"/>
  <c r="E122" i="1"/>
  <c r="K121" i="1"/>
  <c r="E121" i="1"/>
  <c r="K120" i="1"/>
  <c r="E120" i="1"/>
  <c r="K119" i="1"/>
  <c r="E119" i="1"/>
  <c r="K118" i="1"/>
  <c r="E118" i="1"/>
  <c r="K117" i="1"/>
  <c r="E117" i="1"/>
  <c r="K116" i="1"/>
  <c r="E116" i="1"/>
  <c r="K115" i="1"/>
  <c r="E115" i="1"/>
  <c r="K114" i="1"/>
  <c r="E114" i="1"/>
  <c r="K112" i="1"/>
  <c r="J112" i="1"/>
  <c r="I112" i="1"/>
  <c r="H112" i="1"/>
  <c r="E112" i="1"/>
  <c r="D112" i="1"/>
  <c r="C112" i="1"/>
  <c r="B112" i="1"/>
  <c r="E97" i="1"/>
  <c r="K96" i="1"/>
  <c r="E96" i="1"/>
  <c r="K95" i="1"/>
  <c r="E95" i="1"/>
  <c r="K94" i="1"/>
  <c r="E94" i="1"/>
  <c r="K93" i="1"/>
  <c r="E93" i="1"/>
  <c r="K92" i="1"/>
  <c r="E92" i="1"/>
  <c r="K91" i="1"/>
  <c r="E91" i="1"/>
  <c r="K90" i="1"/>
  <c r="E90" i="1"/>
  <c r="K89" i="1"/>
  <c r="E89" i="1"/>
  <c r="K87" i="1"/>
  <c r="J87" i="1"/>
  <c r="I87" i="1"/>
  <c r="H87" i="1"/>
  <c r="E87" i="1"/>
  <c r="D87" i="1"/>
  <c r="C87" i="1"/>
  <c r="B87" i="1"/>
  <c r="E77" i="1"/>
  <c r="K76" i="1"/>
  <c r="J76" i="1"/>
  <c r="I76" i="1"/>
  <c r="H76" i="1"/>
  <c r="E76" i="1"/>
  <c r="K75" i="1"/>
  <c r="J75" i="1"/>
  <c r="I75" i="1"/>
  <c r="H75" i="1"/>
  <c r="E75" i="1"/>
  <c r="K74" i="1"/>
  <c r="J74" i="1"/>
  <c r="I74" i="1"/>
  <c r="H74" i="1"/>
  <c r="E74" i="1"/>
  <c r="K73" i="1"/>
  <c r="J73" i="1"/>
  <c r="I73" i="1"/>
  <c r="H73" i="1"/>
  <c r="E73" i="1"/>
  <c r="K72" i="1"/>
  <c r="J72" i="1"/>
  <c r="I72" i="1"/>
  <c r="H72" i="1"/>
  <c r="E72" i="1"/>
  <c r="K71" i="1"/>
  <c r="J71" i="1"/>
  <c r="I71" i="1"/>
  <c r="H71" i="1"/>
  <c r="E71" i="1"/>
  <c r="K70" i="1"/>
  <c r="J70" i="1"/>
  <c r="I70" i="1"/>
  <c r="H70" i="1"/>
  <c r="E70" i="1"/>
  <c r="K69" i="1"/>
  <c r="J69" i="1"/>
  <c r="I69" i="1"/>
  <c r="H69" i="1"/>
  <c r="E69" i="1"/>
  <c r="K68" i="1"/>
  <c r="J68" i="1"/>
  <c r="I68" i="1"/>
  <c r="H68" i="1"/>
  <c r="E68" i="1"/>
  <c r="K66" i="1"/>
  <c r="E66" i="1"/>
  <c r="D66" i="1"/>
  <c r="C66" i="1"/>
  <c r="B66" i="1"/>
  <c r="K45" i="1"/>
  <c r="K44" i="1"/>
  <c r="K43" i="1"/>
  <c r="E43" i="1"/>
  <c r="K42" i="1"/>
  <c r="E42" i="1"/>
  <c r="K41" i="1"/>
  <c r="E41" i="1"/>
  <c r="K40" i="1"/>
  <c r="E40" i="1"/>
  <c r="K39" i="1"/>
  <c r="E39" i="1"/>
  <c r="K38" i="1"/>
  <c r="E38" i="1"/>
  <c r="K36" i="1"/>
  <c r="J36" i="1"/>
  <c r="I36" i="1"/>
  <c r="H36" i="1"/>
  <c r="E36" i="1"/>
  <c r="D36" i="1"/>
  <c r="C36" i="1"/>
  <c r="B36" i="1"/>
  <c r="E25" i="1"/>
  <c r="E24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4" i="1"/>
  <c r="J14" i="1"/>
  <c r="I14" i="1"/>
  <c r="H14" i="1"/>
  <c r="E14" i="1"/>
  <c r="D14" i="1"/>
  <c r="C14" i="1"/>
  <c r="B14" i="1"/>
  <c r="J66" i="1" l="1"/>
  <c r="I66" i="1"/>
  <c r="H66" i="1"/>
</calcChain>
</file>

<file path=xl/sharedStrings.xml><?xml version="1.0" encoding="utf-8"?>
<sst xmlns="http://schemas.openxmlformats.org/spreadsheetml/2006/main" count="697" uniqueCount="65">
  <si>
    <t>STATE TOTAL</t>
  </si>
  <si>
    <t xml:space="preserve">   MINING (21)</t>
  </si>
  <si>
    <t>Total</t>
  </si>
  <si>
    <t xml:space="preserve">   Average</t>
  </si>
  <si>
    <t>Employment</t>
  </si>
  <si>
    <t xml:space="preserve">   Number of</t>
  </si>
  <si>
    <t xml:space="preserve">    March</t>
  </si>
  <si>
    <t>Quarterly</t>
  </si>
  <si>
    <t xml:space="preserve">   Monthly</t>
  </si>
  <si>
    <t xml:space="preserve">  Range</t>
  </si>
  <si>
    <t>Establishments</t>
  </si>
  <si>
    <t xml:space="preserve">  Employment</t>
  </si>
  <si>
    <t>Wages</t>
  </si>
  <si>
    <t xml:space="preserve">   Wage</t>
  </si>
  <si>
    <t xml:space="preserve">  Total</t>
  </si>
  <si>
    <t>0</t>
  </si>
  <si>
    <t>1-4</t>
  </si>
  <si>
    <t>5-9</t>
  </si>
  <si>
    <t>20-49</t>
  </si>
  <si>
    <t>50-99</t>
  </si>
  <si>
    <t>100-249</t>
  </si>
  <si>
    <t>250-499</t>
  </si>
  <si>
    <t>250 &amp; Over</t>
  </si>
  <si>
    <t>500-999</t>
  </si>
  <si>
    <t>1,000 &amp; Over</t>
  </si>
  <si>
    <t>UTILITIES (22)</t>
  </si>
  <si>
    <t xml:space="preserve">    CONSTRUCTION (23)</t>
  </si>
  <si>
    <t xml:space="preserve">   Total</t>
  </si>
  <si>
    <t xml:space="preserve"> </t>
  </si>
  <si>
    <t xml:space="preserve">       MANUFACTURING (31-33)</t>
  </si>
  <si>
    <t xml:space="preserve">   TRADE</t>
  </si>
  <si>
    <t>500 &amp; Over</t>
  </si>
  <si>
    <t xml:space="preserve">  </t>
  </si>
  <si>
    <t xml:space="preserve">    Wholesale Trade (42)</t>
  </si>
  <si>
    <t>Retail Trade (44-45)</t>
  </si>
  <si>
    <t xml:space="preserve">   TRANSPORTATION AND WAREHOUSING (48-49)</t>
  </si>
  <si>
    <t xml:space="preserve">              INFORMATION (51)</t>
  </si>
  <si>
    <t>FINANCE AND INSURANCE (52)</t>
  </si>
  <si>
    <t>REAL ESTATE &amp; RENTAL AND LEASING (53)</t>
  </si>
  <si>
    <t>100 &amp; Over</t>
  </si>
  <si>
    <t>PROFESSIONAL, SCIENTIFIC, AND TECHNICAL SERVICES (54)</t>
  </si>
  <si>
    <t>MANAGEMENT OF COMPANIES AND ENTERPRISES (55)</t>
  </si>
  <si>
    <t>ADMINISTRATIVE &amp; SUPPORT, WASTE MANAGEMENT, &amp; REMEDIATION SERVICES (56)</t>
  </si>
  <si>
    <t>HEALTH CARE AND SOCIAL ASSISTANCE (62)</t>
  </si>
  <si>
    <t>ARTS, ENTERTAINMENT, AND RECREATION (71)</t>
  </si>
  <si>
    <t>ACCOMMODATION AND FOOD SERVICES (72)</t>
  </si>
  <si>
    <t>OTHER SERVICES (81)</t>
  </si>
  <si>
    <t>FEDERAL GOVERNMENT</t>
  </si>
  <si>
    <t>FEDERAL DEFENSE</t>
  </si>
  <si>
    <t>STATE GOVERNMENT</t>
  </si>
  <si>
    <t>STATE EDUCATION</t>
  </si>
  <si>
    <t>LOCAL GOVERNMENT</t>
  </si>
  <si>
    <t>LOCAL EDUCATION</t>
  </si>
  <si>
    <t>PRIVATE SECTOR</t>
  </si>
  <si>
    <t>GOVERNMENT (92)</t>
  </si>
  <si>
    <t>500 &amp;  Over</t>
  </si>
  <si>
    <t>500 - 999</t>
  </si>
  <si>
    <t>10-19</t>
  </si>
  <si>
    <t>1000 &amp; Over</t>
  </si>
  <si>
    <t xml:space="preserve"> 500 &amp; Over</t>
  </si>
  <si>
    <t xml:space="preserve">250-499 </t>
  </si>
  <si>
    <t>EDUCATIONAL SERVICES (PRIVATE) (61)</t>
  </si>
  <si>
    <t>TABLE 16.  UTAH ESTABLISHMENTS, EMPLOYMENT, AND WAGES BY FIRM SIZE AND INDUSTRY, FIRST QUARTER 2015</t>
  </si>
  <si>
    <t>SOURCE: Utah Department of Workforce Services, Workforce Research &amp; Analysis, Annual Report of Labor Market Information, 2015</t>
  </si>
  <si>
    <t>TABLE 16.  (cont.)UTAH ESTABLISHMENTS, EMPLOYMENT, AND WAGES BY FIRM SIZE AND INDUSTRY, FIRST QUARTER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</si>
</sst>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\ ;\(&quot;$&quot;#,##0\)"/>
    <numFmt numFmtId="165" formatCode="&quot;$&quot;#,##0"/>
  </numFmts>
  <fonts count="7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9"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3" fontId="0" fillId="0" borderId="0" xfId="0" applyNumberFormat="1" applyAlignment="1">
      <alignment horizontal="left"/>
    </xf>
    <xf numFmtId="3" fontId="1" fillId="0" borderId="0" xfId="0" applyNumberFormat="1" applyFont="1" applyFill="1"/>
    <xf numFmtId="3" fontId="1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Alignment="1">
      <alignment horizontal="right"/>
    </xf>
    <xf numFmtId="3" fontId="0" fillId="2" borderId="0" xfId="0" applyNumberFormat="1" applyFill="1"/>
    <xf numFmtId="3" fontId="0" fillId="3" borderId="0" xfId="0" applyNumberFormat="1" applyFill="1"/>
    <xf numFmtId="3" fontId="0" fillId="4" borderId="0" xfId="0" applyNumberFormat="1" applyFill="1"/>
    <xf numFmtId="3" fontId="2" fillId="2" borderId="0" xfId="0" applyNumberFormat="1" applyFont="1" applyFill="1" applyAlignment="1"/>
    <xf numFmtId="3" fontId="0" fillId="2" borderId="0" xfId="0" applyNumberFormat="1" applyFill="1" applyAlignment="1"/>
    <xf numFmtId="3" fontId="2" fillId="3" borderId="0" xfId="0" applyNumberFormat="1" applyFont="1" applyFill="1" applyAlignment="1"/>
    <xf numFmtId="3" fontId="0" fillId="3" borderId="0" xfId="0" applyNumberFormat="1" applyFill="1" applyAlignment="1"/>
    <xf numFmtId="3" fontId="0" fillId="0" borderId="0" xfId="0" applyNumberFormat="1"/>
    <xf numFmtId="3" fontId="0" fillId="0" borderId="0" xfId="0" quotePrefix="1" applyNumberFormat="1"/>
    <xf numFmtId="3" fontId="2" fillId="0" borderId="0" xfId="1" applyNumberFormat="1" applyFont="1" applyFill="1"/>
    <xf numFmtId="3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4" fillId="0" borderId="0" xfId="0" applyNumberFormat="1" applyFont="1"/>
    <xf numFmtId="164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4" fillId="0" borderId="0" xfId="0" applyNumberFormat="1" applyFont="1"/>
    <xf numFmtId="3" fontId="0" fillId="0" borderId="0" xfId="0" applyNumberFormat="1"/>
    <xf numFmtId="3" fontId="0" fillId="0" borderId="0" xfId="0" quotePrefix="1" applyNumberFormat="1"/>
    <xf numFmtId="3" fontId="4" fillId="0" borderId="0" xfId="0" applyNumberFormat="1" applyFont="1"/>
    <xf numFmtId="164" fontId="4" fillId="0" borderId="0" xfId="0" applyNumberFormat="1" applyFont="1" applyAlignment="1"/>
    <xf numFmtId="3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quotePrefix="1" applyNumberFormat="1"/>
    <xf numFmtId="3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quotePrefix="1" applyNumberFormat="1"/>
    <xf numFmtId="3" fontId="2" fillId="0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quotePrefix="1" applyNumberFormat="1"/>
    <xf numFmtId="3" fontId="4" fillId="0" borderId="0" xfId="0" applyNumberFormat="1" applyFont="1" applyFill="1"/>
    <xf numFmtId="3" fontId="0" fillId="0" borderId="0" xfId="0" applyNumberFormat="1" applyFill="1"/>
    <xf numFmtId="3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3" fontId="6" fillId="4" borderId="0" xfId="0" applyNumberFormat="1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/>
    </xf>
    <xf numFmtId="3" fontId="2" fillId="0" borderId="0" xfId="0" applyNumberFormat="1" applyFont="1" applyAlignment="1"/>
    <xf numFmtId="3" fontId="0" fillId="0" borderId="0" xfId="0" applyNumberFormat="1" applyAlignment="1"/>
    <xf numFmtId="3" fontId="2" fillId="3" borderId="0" xfId="0" applyNumberFormat="1" applyFont="1" applyFill="1" applyAlignment="1"/>
    <xf numFmtId="3" fontId="0" fillId="3" borderId="0" xfId="0" applyNumberFormat="1" applyFill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6"/>
  <sheetViews>
    <sheetView tabSelected="1" zoomScaleNormal="100" workbookViewId="0">
      <selection activeCell="H232" sqref="H232"/>
    </sheetView>
  </sheetViews>
  <sheetFormatPr defaultRowHeight="12.75" x14ac:dyDescent="0.2"/>
  <cols>
    <col min="1" max="1" width="12.7109375" customWidth="1"/>
    <col min="2" max="2" width="20.140625" customWidth="1"/>
    <col min="3" max="3" width="13.7109375" customWidth="1"/>
    <col min="4" max="4" width="15.85546875" customWidth="1"/>
    <col min="5" max="5" width="11.7109375" customWidth="1"/>
    <col min="6" max="6" width="6.7109375" customWidth="1"/>
    <col min="7" max="7" width="12.7109375" customWidth="1"/>
    <col min="8" max="8" width="14.7109375" customWidth="1"/>
    <col min="9" max="9" width="13.7109375" customWidth="1"/>
    <col min="10" max="10" width="17" customWidth="1"/>
    <col min="11" max="11" width="11.7109375" customWidth="1"/>
    <col min="13" max="13" width="12.7109375" customWidth="1"/>
    <col min="14" max="14" width="11.7109375" customWidth="1"/>
    <col min="15" max="15" width="12.7109375" customWidth="1"/>
    <col min="16" max="16" width="14.7109375" customWidth="1"/>
    <col min="17" max="17" width="12.7109375" customWidth="1"/>
    <col min="18" max="18" width="11.140625" bestFit="1" customWidth="1"/>
    <col min="19" max="19" width="12.7109375" customWidth="1"/>
    <col min="20" max="20" width="14.7109375" customWidth="1"/>
    <col min="21" max="21" width="11.7109375" customWidth="1"/>
    <col min="22" max="22" width="14.7109375" customWidth="1"/>
    <col min="23" max="23" width="11.7109375" customWidth="1"/>
    <col min="24" max="25" width="11.140625" bestFit="1" customWidth="1"/>
    <col min="28" max="28" width="10.7109375" customWidth="1"/>
    <col min="32" max="32" width="3.7109375" customWidth="1"/>
    <col min="36" max="36" width="4.7109375" customWidth="1"/>
    <col min="37" max="37" width="15.7109375" customWidth="1"/>
    <col min="41" max="41" width="12.7109375" customWidth="1"/>
    <col min="42" max="43" width="11.7109375" customWidth="1"/>
    <col min="44" max="44" width="14.7109375" customWidth="1"/>
    <col min="45" max="45" width="11.7109375" customWidth="1"/>
    <col min="47" max="47" width="12.7109375" customWidth="1"/>
    <col min="48" max="49" width="11.7109375" customWidth="1"/>
    <col min="50" max="50" width="14.7109375" customWidth="1"/>
    <col min="51" max="51" width="11.7109375" customWidth="1"/>
    <col min="53" max="55" width="11.7109375" customWidth="1"/>
    <col min="56" max="56" width="14.7109375" customWidth="1"/>
    <col min="57" max="57" width="11.7109375" customWidth="1"/>
    <col min="59" max="61" width="11.7109375" customWidth="1"/>
    <col min="62" max="62" width="14.7109375" customWidth="1"/>
    <col min="63" max="63" width="11.7109375" customWidth="1"/>
    <col min="65" max="65" width="12.7109375" customWidth="1"/>
    <col min="66" max="67" width="11.7109375" customWidth="1"/>
    <col min="68" max="68" width="14.7109375" customWidth="1"/>
    <col min="69" max="69" width="11.7109375" customWidth="1"/>
    <col min="71" max="71" width="12.7109375" customWidth="1"/>
    <col min="72" max="73" width="11.7109375" customWidth="1"/>
    <col min="74" max="74" width="14.7109375" customWidth="1"/>
    <col min="75" max="75" width="11.7109375" customWidth="1"/>
  </cols>
  <sheetData>
    <row r="1" spans="1:1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4.25" x14ac:dyDescent="0.2">
      <c r="A2" s="72" t="s">
        <v>62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">
      <c r="A7" s="74" t="s">
        <v>0</v>
      </c>
      <c r="B7" s="74"/>
      <c r="C7" s="74"/>
      <c r="D7" s="74"/>
      <c r="E7" s="74"/>
      <c r="F7" s="10"/>
      <c r="G7" s="74" t="s">
        <v>1</v>
      </c>
      <c r="H7" s="74"/>
      <c r="I7" s="74"/>
      <c r="J7" s="74"/>
      <c r="K7" s="74"/>
    </row>
    <row r="9" spans="1:11" x14ac:dyDescent="0.2">
      <c r="A9" s="9"/>
      <c r="B9" s="9"/>
      <c r="C9" s="9"/>
      <c r="D9" s="9" t="s">
        <v>2</v>
      </c>
      <c r="E9" s="9" t="s">
        <v>3</v>
      </c>
      <c r="G9" s="9"/>
      <c r="H9" s="9"/>
      <c r="I9" s="9"/>
      <c r="J9" s="9" t="s">
        <v>2</v>
      </c>
      <c r="K9" s="9" t="s">
        <v>3</v>
      </c>
    </row>
    <row r="10" spans="1:11" x14ac:dyDescent="0.2">
      <c r="A10" s="3" t="s">
        <v>4</v>
      </c>
      <c r="B10" s="9" t="s">
        <v>5</v>
      </c>
      <c r="C10" s="9" t="s">
        <v>6</v>
      </c>
      <c r="D10" s="9" t="s">
        <v>7</v>
      </c>
      <c r="E10" s="9" t="s">
        <v>8</v>
      </c>
      <c r="G10" s="3" t="s">
        <v>4</v>
      </c>
      <c r="H10" s="9" t="s">
        <v>5</v>
      </c>
      <c r="I10" s="9" t="s">
        <v>6</v>
      </c>
      <c r="J10" s="9" t="s">
        <v>7</v>
      </c>
      <c r="K10" s="9" t="s">
        <v>8</v>
      </c>
    </row>
    <row r="11" spans="1:11" x14ac:dyDescent="0.2">
      <c r="A11" s="3" t="s">
        <v>9</v>
      </c>
      <c r="B11" s="9" t="s">
        <v>10</v>
      </c>
      <c r="C11" s="9" t="s">
        <v>11</v>
      </c>
      <c r="D11" s="9" t="s">
        <v>12</v>
      </c>
      <c r="E11" s="9" t="s">
        <v>13</v>
      </c>
      <c r="G11" s="3" t="s">
        <v>9</v>
      </c>
      <c r="H11" s="9" t="s">
        <v>10</v>
      </c>
      <c r="I11" s="9" t="s">
        <v>11</v>
      </c>
      <c r="J11" s="9" t="s">
        <v>12</v>
      </c>
      <c r="K11" s="9" t="s">
        <v>13</v>
      </c>
    </row>
    <row r="14" spans="1:11" x14ac:dyDescent="0.2">
      <c r="A14" s="20" t="s">
        <v>14</v>
      </c>
      <c r="B14" s="69">
        <f>SUM(B16:B25)</f>
        <v>90442</v>
      </c>
      <c r="C14" s="69">
        <f>SUM(C17:C25)</f>
        <v>1359307</v>
      </c>
      <c r="D14" s="70">
        <f>SUM(D16:D25)</f>
        <v>14465792441</v>
      </c>
      <c r="E14" s="33">
        <f>10722/3</f>
        <v>3574</v>
      </c>
      <c r="F14" s="69"/>
      <c r="G14" s="69" t="s">
        <v>14</v>
      </c>
      <c r="H14" s="69">
        <f>SUM(H16:H25)</f>
        <v>672</v>
      </c>
      <c r="I14" s="69">
        <f>SUM(I16:I25)</f>
        <v>10848</v>
      </c>
      <c r="J14" s="70">
        <f>SUM(J16:J25)</f>
        <v>251695462</v>
      </c>
      <c r="K14" s="33">
        <f>22489/3</f>
        <v>7496.333333333333</v>
      </c>
    </row>
    <row r="15" spans="1:11" x14ac:dyDescent="0.2"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17" t="s">
        <v>15</v>
      </c>
      <c r="B16" s="64">
        <v>11005</v>
      </c>
      <c r="C16" s="64">
        <v>0</v>
      </c>
      <c r="D16" s="64">
        <v>46854435</v>
      </c>
      <c r="E16" s="64">
        <f>10553/3</f>
        <v>3517.6666666666665</v>
      </c>
      <c r="F16" s="64"/>
      <c r="G16" s="64" t="s">
        <v>15</v>
      </c>
      <c r="H16" s="64">
        <v>111</v>
      </c>
      <c r="I16" s="64">
        <v>0</v>
      </c>
      <c r="J16" s="64">
        <v>843700</v>
      </c>
      <c r="K16" s="64">
        <f>16987/3</f>
        <v>5662.333333333333</v>
      </c>
    </row>
    <row r="17" spans="1:11" x14ac:dyDescent="0.2">
      <c r="A17" s="17" t="s">
        <v>16</v>
      </c>
      <c r="B17" s="64">
        <v>41991</v>
      </c>
      <c r="C17" s="64">
        <v>77923</v>
      </c>
      <c r="D17" s="64">
        <v>901357560</v>
      </c>
      <c r="E17" s="64">
        <f>11691/3</f>
        <v>3897</v>
      </c>
      <c r="F17" s="64"/>
      <c r="G17" s="64" t="s">
        <v>16</v>
      </c>
      <c r="H17" s="64">
        <v>280</v>
      </c>
      <c r="I17" s="64">
        <v>519</v>
      </c>
      <c r="J17" s="64">
        <v>8784478</v>
      </c>
      <c r="K17" s="64">
        <f>16247/3</f>
        <v>5415.666666666667</v>
      </c>
    </row>
    <row r="18" spans="1:11" x14ac:dyDescent="0.2">
      <c r="A18" s="17" t="s">
        <v>17</v>
      </c>
      <c r="B18" s="64">
        <v>14348</v>
      </c>
      <c r="C18" s="64">
        <v>95679</v>
      </c>
      <c r="D18" s="64">
        <v>851351546</v>
      </c>
      <c r="E18" s="64">
        <f>9031/3</f>
        <v>3010.3333333333335</v>
      </c>
      <c r="F18" s="64"/>
      <c r="G18" s="64" t="s">
        <v>17</v>
      </c>
      <c r="H18" s="64">
        <v>81</v>
      </c>
      <c r="I18" s="64">
        <v>542</v>
      </c>
      <c r="J18" s="64">
        <v>9174007</v>
      </c>
      <c r="K18" s="64">
        <f>16630/3</f>
        <v>5543.333333333333</v>
      </c>
    </row>
    <row r="19" spans="1:11" x14ac:dyDescent="0.2">
      <c r="A19" s="18" t="s">
        <v>57</v>
      </c>
      <c r="B19" s="64">
        <v>10683</v>
      </c>
      <c r="C19" s="64">
        <v>145391</v>
      </c>
      <c r="D19" s="64">
        <v>1288307562</v>
      </c>
      <c r="E19" s="64">
        <f>8976/3</f>
        <v>2992</v>
      </c>
      <c r="F19" s="64"/>
      <c r="G19" s="66" t="s">
        <v>57</v>
      </c>
      <c r="H19" s="64">
        <v>90</v>
      </c>
      <c r="I19" s="64">
        <v>1257</v>
      </c>
      <c r="J19" s="64">
        <v>21966604</v>
      </c>
      <c r="K19" s="64">
        <f>16566/3</f>
        <v>5522</v>
      </c>
    </row>
    <row r="20" spans="1:11" x14ac:dyDescent="0.2">
      <c r="A20" s="17" t="s">
        <v>18</v>
      </c>
      <c r="B20" s="64">
        <v>7547</v>
      </c>
      <c r="C20" s="64">
        <v>228618</v>
      </c>
      <c r="D20" s="64">
        <v>2125664209</v>
      </c>
      <c r="E20" s="64">
        <f>9410/3</f>
        <v>3136.6666666666665</v>
      </c>
      <c r="F20" s="64"/>
      <c r="G20" s="64" t="s">
        <v>18</v>
      </c>
      <c r="H20" s="64">
        <v>64</v>
      </c>
      <c r="I20" s="64">
        <v>1851</v>
      </c>
      <c r="J20" s="64">
        <v>36446356</v>
      </c>
      <c r="K20" s="64">
        <f>18825/3</f>
        <v>6275</v>
      </c>
    </row>
    <row r="21" spans="1:11" x14ac:dyDescent="0.2">
      <c r="A21" s="17" t="s">
        <v>19</v>
      </c>
      <c r="B21" s="64">
        <v>2877</v>
      </c>
      <c r="C21" s="64">
        <v>196516</v>
      </c>
      <c r="D21" s="64">
        <v>1968133740</v>
      </c>
      <c r="E21" s="64">
        <f>10111/3</f>
        <v>3370.3333333333335</v>
      </c>
      <c r="F21" s="64"/>
      <c r="G21" s="64" t="s">
        <v>19</v>
      </c>
      <c r="H21" s="64">
        <v>26</v>
      </c>
      <c r="I21" s="64">
        <v>1684</v>
      </c>
      <c r="J21" s="64">
        <v>40032061</v>
      </c>
      <c r="K21" s="64">
        <f>23933/3</f>
        <v>7977.666666666667</v>
      </c>
    </row>
    <row r="22" spans="1:11" x14ac:dyDescent="0.2">
      <c r="A22" s="17" t="s">
        <v>20</v>
      </c>
      <c r="B22" s="64">
        <v>1413</v>
      </c>
      <c r="C22" s="64">
        <v>209448</v>
      </c>
      <c r="D22" s="64">
        <v>2334737108</v>
      </c>
      <c r="E22" s="64">
        <f>11289/3</f>
        <v>3763</v>
      </c>
      <c r="F22" s="64"/>
      <c r="G22" s="64" t="s">
        <v>20</v>
      </c>
      <c r="H22" s="64">
        <v>12</v>
      </c>
      <c r="I22" s="64">
        <v>1721</v>
      </c>
      <c r="J22" s="64">
        <v>38845949</v>
      </c>
      <c r="K22" s="64">
        <f>21968/3</f>
        <v>7322.666666666667</v>
      </c>
    </row>
    <row r="23" spans="1:11" x14ac:dyDescent="0.2">
      <c r="A23" s="17" t="s">
        <v>21</v>
      </c>
      <c r="B23" s="64">
        <v>370</v>
      </c>
      <c r="C23" s="64">
        <v>128077</v>
      </c>
      <c r="D23" s="64">
        <v>1641072054</v>
      </c>
      <c r="E23" s="64">
        <f>12927/3</f>
        <v>4309</v>
      </c>
      <c r="F23" s="64"/>
      <c r="G23" s="64" t="s">
        <v>22</v>
      </c>
      <c r="H23" s="64">
        <v>8</v>
      </c>
      <c r="I23" s="64">
        <v>3274</v>
      </c>
      <c r="J23" s="64">
        <v>95602307</v>
      </c>
      <c r="K23" s="19">
        <v>9521</v>
      </c>
    </row>
    <row r="24" spans="1:11" x14ac:dyDescent="0.2">
      <c r="A24" s="17" t="s">
        <v>23</v>
      </c>
      <c r="B24" s="64">
        <v>136</v>
      </c>
      <c r="C24" s="64">
        <v>91927</v>
      </c>
      <c r="D24" s="64">
        <v>1101165050</v>
      </c>
      <c r="E24" s="64">
        <f>12062/3</f>
        <v>4020.6666666666665</v>
      </c>
      <c r="F24" s="64"/>
      <c r="G24" s="64"/>
      <c r="H24" s="64"/>
      <c r="I24" s="64"/>
      <c r="J24" s="64"/>
      <c r="K24" s="64"/>
    </row>
    <row r="25" spans="1:11" x14ac:dyDescent="0.2">
      <c r="A25" s="17" t="s">
        <v>58</v>
      </c>
      <c r="B25" s="64">
        <v>72</v>
      </c>
      <c r="C25" s="64">
        <v>185728</v>
      </c>
      <c r="D25" s="64">
        <v>2207149177</v>
      </c>
      <c r="E25" s="64">
        <f>11983/3</f>
        <v>3994.3333333333335</v>
      </c>
      <c r="F25" s="64"/>
      <c r="G25" s="64"/>
      <c r="H25" s="64"/>
      <c r="I25" s="64"/>
      <c r="J25" s="64"/>
      <c r="K25" s="64"/>
    </row>
    <row r="28" spans="1:1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2">
      <c r="A29" s="74" t="s">
        <v>25</v>
      </c>
      <c r="B29" s="74"/>
      <c r="C29" s="74"/>
      <c r="D29" s="74"/>
      <c r="E29" s="74"/>
      <c r="F29" s="10"/>
      <c r="G29" s="74" t="s">
        <v>26</v>
      </c>
      <c r="H29" s="74"/>
      <c r="I29" s="74"/>
      <c r="J29" s="74"/>
      <c r="K29" s="74"/>
    </row>
    <row r="31" spans="1:11" x14ac:dyDescent="0.2">
      <c r="C31" s="9"/>
      <c r="D31" s="9" t="s">
        <v>2</v>
      </c>
      <c r="E31" s="9" t="s">
        <v>3</v>
      </c>
      <c r="H31" s="9"/>
      <c r="I31" s="9"/>
      <c r="J31" s="9" t="s">
        <v>2</v>
      </c>
      <c r="K31" s="9" t="s">
        <v>3</v>
      </c>
    </row>
    <row r="32" spans="1:11" x14ac:dyDescent="0.2">
      <c r="A32" s="3" t="s">
        <v>4</v>
      </c>
      <c r="B32" t="s">
        <v>5</v>
      </c>
      <c r="C32" s="9" t="s">
        <v>6</v>
      </c>
      <c r="D32" s="9" t="s">
        <v>7</v>
      </c>
      <c r="E32" s="9" t="s">
        <v>8</v>
      </c>
      <c r="G32" s="3" t="s">
        <v>4</v>
      </c>
      <c r="H32" s="9" t="s">
        <v>5</v>
      </c>
      <c r="I32" s="9" t="s">
        <v>6</v>
      </c>
      <c r="J32" s="9" t="s">
        <v>7</v>
      </c>
      <c r="K32" s="9" t="s">
        <v>8</v>
      </c>
    </row>
    <row r="33" spans="1:11" x14ac:dyDescent="0.2">
      <c r="A33" s="3" t="s">
        <v>9</v>
      </c>
      <c r="B33" t="s">
        <v>10</v>
      </c>
      <c r="C33" s="9" t="s">
        <v>11</v>
      </c>
      <c r="D33" s="9" t="s">
        <v>12</v>
      </c>
      <c r="E33" s="9" t="s">
        <v>13</v>
      </c>
      <c r="G33" s="3" t="s">
        <v>9</v>
      </c>
      <c r="H33" s="9" t="s">
        <v>10</v>
      </c>
      <c r="I33" s="9" t="s">
        <v>11</v>
      </c>
      <c r="J33" s="9" t="s">
        <v>12</v>
      </c>
      <c r="K33" s="9" t="s">
        <v>13</v>
      </c>
    </row>
    <row r="36" spans="1:11" x14ac:dyDescent="0.2">
      <c r="A36" s="23" t="s">
        <v>27</v>
      </c>
      <c r="B36" s="69">
        <f>SUM(B38:B46)</f>
        <v>231</v>
      </c>
      <c r="C36" s="69">
        <f>SUM(C38:C46)</f>
        <v>4022</v>
      </c>
      <c r="D36" s="70">
        <f>SUM(D38:D46)</f>
        <v>81024775</v>
      </c>
      <c r="E36" s="70">
        <f>20292/3</f>
        <v>6764</v>
      </c>
      <c r="F36" s="69"/>
      <c r="G36" s="69" t="s">
        <v>14</v>
      </c>
      <c r="H36" s="69">
        <f>SUM(H38:H46)</f>
        <v>9883</v>
      </c>
      <c r="I36" s="69">
        <f>SUM(I38:I46)</f>
        <v>79803</v>
      </c>
      <c r="J36" s="70">
        <f>SUM(J38:J46)</f>
        <v>837755029</v>
      </c>
      <c r="K36" s="33">
        <f>10728/3</f>
        <v>3576</v>
      </c>
    </row>
    <row r="37" spans="1:11" x14ac:dyDescent="0.2">
      <c r="A37" s="21" t="s">
        <v>28</v>
      </c>
      <c r="B37" s="64" t="s">
        <v>28</v>
      </c>
      <c r="C37" s="64"/>
      <c r="D37" s="64"/>
      <c r="E37" s="64"/>
      <c r="F37" s="64"/>
      <c r="G37" s="64"/>
      <c r="H37" s="64"/>
      <c r="I37" s="64"/>
      <c r="J37" s="64"/>
      <c r="K37" s="64"/>
    </row>
    <row r="38" spans="1:11" x14ac:dyDescent="0.2">
      <c r="A38" s="21" t="s">
        <v>15</v>
      </c>
      <c r="B38" s="64">
        <v>17</v>
      </c>
      <c r="C38" s="64">
        <v>0</v>
      </c>
      <c r="D38" s="64">
        <v>6931</v>
      </c>
      <c r="E38" s="64">
        <f>3465/3</f>
        <v>1155</v>
      </c>
      <c r="F38" s="64"/>
      <c r="G38" s="64" t="s">
        <v>15</v>
      </c>
      <c r="H38" s="64">
        <v>1533</v>
      </c>
      <c r="I38" s="64">
        <v>0</v>
      </c>
      <c r="J38" s="64">
        <v>4850888</v>
      </c>
      <c r="K38" s="64">
        <f>9118/3</f>
        <v>3039.3333333333335</v>
      </c>
    </row>
    <row r="39" spans="1:11" x14ac:dyDescent="0.2">
      <c r="A39" s="21" t="s">
        <v>16</v>
      </c>
      <c r="B39" s="64">
        <v>114</v>
      </c>
      <c r="C39" s="64">
        <v>231</v>
      </c>
      <c r="D39" s="64">
        <v>2738047</v>
      </c>
      <c r="E39" s="64">
        <f>12062/3</f>
        <v>4020.6666666666665</v>
      </c>
      <c r="F39" s="64"/>
      <c r="G39" s="64" t="s">
        <v>16</v>
      </c>
      <c r="H39" s="64">
        <v>4875</v>
      </c>
      <c r="I39" s="64">
        <v>9712</v>
      </c>
      <c r="J39" s="64">
        <v>74921578</v>
      </c>
      <c r="K39" s="64">
        <f>7839/3</f>
        <v>2613</v>
      </c>
    </row>
    <row r="40" spans="1:11" x14ac:dyDescent="0.2">
      <c r="A40" s="21" t="s">
        <v>17</v>
      </c>
      <c r="B40" s="64">
        <v>32</v>
      </c>
      <c r="C40" s="64">
        <v>212</v>
      </c>
      <c r="D40" s="64">
        <v>2872175</v>
      </c>
      <c r="E40" s="64">
        <f>13988/3</f>
        <v>4662.666666666667</v>
      </c>
      <c r="F40" s="64"/>
      <c r="G40" s="64" t="s">
        <v>17</v>
      </c>
      <c r="H40" s="64">
        <v>1696</v>
      </c>
      <c r="I40" s="64">
        <v>11166</v>
      </c>
      <c r="J40" s="64">
        <v>88609723</v>
      </c>
      <c r="K40" s="64">
        <f>8201/3</f>
        <v>2733.6666666666665</v>
      </c>
    </row>
    <row r="41" spans="1:11" x14ac:dyDescent="0.2">
      <c r="A41" s="22" t="s">
        <v>57</v>
      </c>
      <c r="B41" s="64">
        <v>29</v>
      </c>
      <c r="C41" s="64">
        <v>411</v>
      </c>
      <c r="D41" s="64">
        <v>8011828</v>
      </c>
      <c r="E41" s="64">
        <f>20030/3</f>
        <v>6676.666666666667</v>
      </c>
      <c r="F41" s="64"/>
      <c r="G41" s="66" t="s">
        <v>57</v>
      </c>
      <c r="H41" s="64">
        <v>980</v>
      </c>
      <c r="I41" s="64">
        <v>13199</v>
      </c>
      <c r="J41" s="64">
        <v>123833862</v>
      </c>
      <c r="K41" s="64">
        <f>9567/3</f>
        <v>3189</v>
      </c>
    </row>
    <row r="42" spans="1:11" x14ac:dyDescent="0.2">
      <c r="A42" s="21" t="s">
        <v>18</v>
      </c>
      <c r="B42" s="64">
        <v>20</v>
      </c>
      <c r="C42" s="64">
        <v>604</v>
      </c>
      <c r="D42" s="64">
        <v>15108804</v>
      </c>
      <c r="E42" s="64">
        <f>25195/3</f>
        <v>8398.3333333333339</v>
      </c>
      <c r="F42" s="64"/>
      <c r="G42" s="64" t="s">
        <v>18</v>
      </c>
      <c r="H42" s="64">
        <v>570</v>
      </c>
      <c r="I42" s="64">
        <v>16975</v>
      </c>
      <c r="J42" s="64">
        <v>183982964</v>
      </c>
      <c r="K42" s="64">
        <f>10979/3</f>
        <v>3659.6666666666665</v>
      </c>
    </row>
    <row r="43" spans="1:11" x14ac:dyDescent="0.2">
      <c r="A43" s="21" t="s">
        <v>19</v>
      </c>
      <c r="B43" s="64">
        <v>10</v>
      </c>
      <c r="C43" s="64">
        <v>704</v>
      </c>
      <c r="D43" s="64">
        <v>14087095</v>
      </c>
      <c r="E43" s="64">
        <f>20211/3</f>
        <v>6737</v>
      </c>
      <c r="F43" s="64"/>
      <c r="G43" s="64" t="s">
        <v>19</v>
      </c>
      <c r="H43" s="64">
        <v>144</v>
      </c>
      <c r="I43" s="64">
        <v>9771</v>
      </c>
      <c r="J43" s="64">
        <v>114287617</v>
      </c>
      <c r="K43" s="64">
        <f>12049/3</f>
        <v>4016.3333333333335</v>
      </c>
    </row>
    <row r="44" spans="1:11" x14ac:dyDescent="0.2">
      <c r="A44" s="21" t="s">
        <v>39</v>
      </c>
      <c r="B44" s="64">
        <v>9</v>
      </c>
      <c r="C44" s="64">
        <v>1860</v>
      </c>
      <c r="D44" s="64">
        <v>38199895</v>
      </c>
      <c r="E44" s="68">
        <v>7080</v>
      </c>
      <c r="F44" s="64"/>
      <c r="G44" s="64" t="s">
        <v>20</v>
      </c>
      <c r="H44" s="64">
        <v>70</v>
      </c>
      <c r="I44" s="64">
        <v>10326</v>
      </c>
      <c r="J44" s="64">
        <v>135833362</v>
      </c>
      <c r="K44" s="64">
        <f>13594/3</f>
        <v>4531.333333333333</v>
      </c>
    </row>
    <row r="45" spans="1:11" x14ac:dyDescent="0.2">
      <c r="A45" s="21"/>
      <c r="B45" s="64"/>
      <c r="C45" s="64"/>
      <c r="D45" s="64"/>
      <c r="E45" s="64"/>
      <c r="F45" s="64"/>
      <c r="G45" s="64" t="s">
        <v>21</v>
      </c>
      <c r="H45" s="64">
        <v>10</v>
      </c>
      <c r="I45" s="64">
        <v>3505</v>
      </c>
      <c r="J45" s="64">
        <v>48924199</v>
      </c>
      <c r="K45" s="56">
        <f>15463/3</f>
        <v>5154.333333333333</v>
      </c>
    </row>
    <row r="46" spans="1:11" x14ac:dyDescent="0.2">
      <c r="B46" s="64"/>
      <c r="C46" s="64"/>
      <c r="D46" s="64"/>
      <c r="E46" s="64"/>
      <c r="F46" s="64"/>
      <c r="G46" s="64" t="s">
        <v>31</v>
      </c>
      <c r="H46" s="64">
        <v>5</v>
      </c>
      <c r="I46" s="64">
        <v>5149</v>
      </c>
      <c r="J46" s="64">
        <v>62510836</v>
      </c>
      <c r="K46" s="19">
        <v>4295</v>
      </c>
    </row>
    <row r="50" spans="1:11" x14ac:dyDescent="0.2">
      <c r="A50" s="75" t="s">
        <v>63</v>
      </c>
      <c r="B50" s="76"/>
      <c r="C50" s="76"/>
      <c r="D50" s="76"/>
      <c r="E50" s="76"/>
      <c r="F50" s="76"/>
      <c r="G50" s="76"/>
      <c r="H50" s="76"/>
      <c r="I50" s="76"/>
    </row>
    <row r="53" spans="1:1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4.25" x14ac:dyDescent="0.2">
      <c r="A54" s="72" t="s">
        <v>64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</row>
    <row r="55" spans="1:1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2">
      <c r="A56" s="11"/>
      <c r="B56" s="11"/>
      <c r="C56" s="11"/>
      <c r="D56" s="15"/>
      <c r="E56" s="16"/>
      <c r="F56" s="16"/>
      <c r="G56" s="16"/>
      <c r="H56" s="16"/>
      <c r="I56" s="11"/>
      <c r="J56" s="11"/>
      <c r="K56" s="11"/>
    </row>
    <row r="57" spans="1:11" x14ac:dyDescent="0.2">
      <c r="A57" s="11"/>
      <c r="B57" s="11"/>
      <c r="C57" s="11"/>
      <c r="D57" s="15"/>
      <c r="E57" s="16"/>
      <c r="F57" s="16"/>
      <c r="G57" s="16"/>
      <c r="H57" s="16"/>
      <c r="I57" s="11"/>
      <c r="J57" s="11"/>
      <c r="K57" s="11"/>
    </row>
    <row r="58" spans="1:11" x14ac:dyDescent="0.2">
      <c r="A58" s="10"/>
      <c r="B58" s="10"/>
      <c r="C58" s="10"/>
      <c r="D58" s="13"/>
      <c r="E58" s="14"/>
      <c r="F58" s="14"/>
      <c r="G58" s="14"/>
      <c r="H58" s="14"/>
      <c r="I58" s="10"/>
      <c r="J58" s="10"/>
      <c r="K58" s="10"/>
    </row>
    <row r="59" spans="1:11" x14ac:dyDescent="0.2">
      <c r="A59" s="74" t="s">
        <v>29</v>
      </c>
      <c r="B59" s="74"/>
      <c r="C59" s="74"/>
      <c r="D59" s="74"/>
      <c r="E59" s="74"/>
      <c r="F59" s="10"/>
      <c r="G59" s="74" t="s">
        <v>30</v>
      </c>
      <c r="H59" s="74"/>
      <c r="I59" s="74"/>
      <c r="J59" s="74"/>
      <c r="K59" s="74"/>
    </row>
    <row r="61" spans="1:11" x14ac:dyDescent="0.2">
      <c r="A61" s="9"/>
      <c r="B61" s="9"/>
      <c r="C61" s="9"/>
      <c r="D61" s="9" t="s">
        <v>2</v>
      </c>
      <c r="E61" s="9" t="s">
        <v>3</v>
      </c>
      <c r="G61" s="9"/>
      <c r="H61" s="9"/>
      <c r="I61" s="9"/>
      <c r="J61" s="9" t="s">
        <v>2</v>
      </c>
      <c r="K61" s="9" t="s">
        <v>3</v>
      </c>
    </row>
    <row r="62" spans="1:11" x14ac:dyDescent="0.2">
      <c r="A62" s="3" t="s">
        <v>4</v>
      </c>
      <c r="B62" s="9" t="s">
        <v>5</v>
      </c>
      <c r="C62" s="9" t="s">
        <v>6</v>
      </c>
      <c r="D62" s="9" t="s">
        <v>7</v>
      </c>
      <c r="E62" s="9" t="s">
        <v>8</v>
      </c>
      <c r="G62" s="3" t="s">
        <v>4</v>
      </c>
      <c r="H62" s="9" t="s">
        <v>5</v>
      </c>
      <c r="I62" s="9" t="s">
        <v>6</v>
      </c>
      <c r="J62" s="9" t="s">
        <v>7</v>
      </c>
      <c r="K62" s="9" t="s">
        <v>8</v>
      </c>
    </row>
    <row r="63" spans="1:11" x14ac:dyDescent="0.2">
      <c r="A63" s="3" t="s">
        <v>9</v>
      </c>
      <c r="B63" s="9" t="s">
        <v>10</v>
      </c>
      <c r="C63" s="9" t="s">
        <v>11</v>
      </c>
      <c r="D63" s="9" t="s">
        <v>12</v>
      </c>
      <c r="E63" s="9" t="s">
        <v>13</v>
      </c>
      <c r="G63" s="3" t="s">
        <v>9</v>
      </c>
      <c r="H63" s="9" t="s">
        <v>10</v>
      </c>
      <c r="I63" s="9" t="s">
        <v>11</v>
      </c>
      <c r="J63" s="9" t="s">
        <v>12</v>
      </c>
      <c r="K63" s="9" t="s">
        <v>13</v>
      </c>
    </row>
    <row r="66" spans="1:14" x14ac:dyDescent="0.2">
      <c r="A66" s="26" t="s">
        <v>14</v>
      </c>
      <c r="B66" s="69">
        <f>SUM(B67:B77)</f>
        <v>3954</v>
      </c>
      <c r="C66" s="69">
        <f>SUM(C67:C77)</f>
        <v>122450</v>
      </c>
      <c r="D66" s="70">
        <f>SUM(D67:D77)</f>
        <v>1663655150</v>
      </c>
      <c r="E66" s="33">
        <f>13619/3</f>
        <v>4539.666666666667</v>
      </c>
      <c r="F66" s="69"/>
      <c r="G66" s="69" t="s">
        <v>27</v>
      </c>
      <c r="H66" s="69">
        <f>SUM(H67:H77)</f>
        <v>15257</v>
      </c>
      <c r="I66" s="69">
        <f>SUM(I67:I77)</f>
        <v>202966</v>
      </c>
      <c r="J66" s="70">
        <f>SUM(J67:J77)</f>
        <v>1933546872</v>
      </c>
      <c r="K66" s="70">
        <f>9555/3</f>
        <v>3185</v>
      </c>
    </row>
    <row r="67" spans="1:14" x14ac:dyDescent="0.2">
      <c r="A67" s="24"/>
      <c r="B67" s="64"/>
      <c r="C67" s="64"/>
      <c r="D67" s="64"/>
      <c r="E67" s="64"/>
      <c r="F67" s="64"/>
      <c r="G67" s="64" t="s">
        <v>28</v>
      </c>
      <c r="H67" s="64"/>
      <c r="I67" s="64"/>
      <c r="J67" s="64"/>
      <c r="K67" s="64"/>
    </row>
    <row r="68" spans="1:14" x14ac:dyDescent="0.2">
      <c r="A68" s="24" t="s">
        <v>15</v>
      </c>
      <c r="B68" s="64">
        <v>300</v>
      </c>
      <c r="C68" s="64">
        <v>0</v>
      </c>
      <c r="D68" s="64">
        <v>3138779</v>
      </c>
      <c r="E68" s="64">
        <f>14554/3</f>
        <v>4851.333333333333</v>
      </c>
      <c r="F68" s="64"/>
      <c r="G68" s="64" t="s">
        <v>15</v>
      </c>
      <c r="H68" s="64">
        <f t="shared" ref="H68:J76" si="0">+B89+H89</f>
        <v>1402</v>
      </c>
      <c r="I68" s="64">
        <f t="shared" si="0"/>
        <v>0</v>
      </c>
      <c r="J68" s="64">
        <f t="shared" si="0"/>
        <v>5923903</v>
      </c>
      <c r="K68" s="64">
        <f>10616/3</f>
        <v>3538.6666666666665</v>
      </c>
    </row>
    <row r="69" spans="1:14" x14ac:dyDescent="0.2">
      <c r="A69" s="24" t="s">
        <v>16</v>
      </c>
      <c r="B69" s="64">
        <v>1412</v>
      </c>
      <c r="C69" s="64">
        <v>2897</v>
      </c>
      <c r="D69" s="64">
        <v>30768297</v>
      </c>
      <c r="E69" s="64">
        <f>10774/3</f>
        <v>3591.3333333333335</v>
      </c>
      <c r="F69" s="64"/>
      <c r="G69" s="64" t="s">
        <v>16</v>
      </c>
      <c r="H69" s="64">
        <f t="shared" si="0"/>
        <v>6211</v>
      </c>
      <c r="I69" s="64">
        <f t="shared" si="0"/>
        <v>12269</v>
      </c>
      <c r="J69" s="64">
        <f t="shared" si="0"/>
        <v>166032407</v>
      </c>
      <c r="K69" s="64">
        <f>13563/3</f>
        <v>4521</v>
      </c>
    </row>
    <row r="70" spans="1:14" x14ac:dyDescent="0.2">
      <c r="A70" s="24" t="s">
        <v>17</v>
      </c>
      <c r="B70" s="64">
        <v>670</v>
      </c>
      <c r="C70" s="64">
        <v>4430</v>
      </c>
      <c r="D70" s="64">
        <v>37463320</v>
      </c>
      <c r="E70" s="64">
        <f>8546/3</f>
        <v>2848.6666666666665</v>
      </c>
      <c r="F70" s="64"/>
      <c r="G70" s="64" t="s">
        <v>17</v>
      </c>
      <c r="H70" s="64">
        <f t="shared" si="0"/>
        <v>3006</v>
      </c>
      <c r="I70" s="64">
        <f t="shared" si="0"/>
        <v>20355</v>
      </c>
      <c r="J70" s="64">
        <f t="shared" si="0"/>
        <v>175130874</v>
      </c>
      <c r="K70" s="64">
        <f>8646/3</f>
        <v>2882</v>
      </c>
    </row>
    <row r="71" spans="1:14" x14ac:dyDescent="0.2">
      <c r="A71" s="25" t="s">
        <v>57</v>
      </c>
      <c r="B71" s="64">
        <v>567</v>
      </c>
      <c r="C71" s="64">
        <v>7795</v>
      </c>
      <c r="D71" s="64">
        <v>77700439</v>
      </c>
      <c r="E71" s="64">
        <f>10046/3</f>
        <v>3348.6666666666665</v>
      </c>
      <c r="F71" s="64"/>
      <c r="G71" s="66" t="s">
        <v>57</v>
      </c>
      <c r="H71" s="64">
        <f t="shared" si="0"/>
        <v>2551</v>
      </c>
      <c r="I71" s="64">
        <f t="shared" si="0"/>
        <v>34546</v>
      </c>
      <c r="J71" s="64">
        <f t="shared" si="0"/>
        <v>297533746</v>
      </c>
      <c r="K71" s="64">
        <f>8689/3</f>
        <v>2896.3333333333335</v>
      </c>
    </row>
    <row r="72" spans="1:14" x14ac:dyDescent="0.2">
      <c r="A72" s="24" t="s">
        <v>18</v>
      </c>
      <c r="B72" s="64">
        <v>538</v>
      </c>
      <c r="C72" s="64">
        <v>16539</v>
      </c>
      <c r="D72" s="64">
        <v>178171580</v>
      </c>
      <c r="E72" s="64">
        <f>10838/3</f>
        <v>3612.6666666666665</v>
      </c>
      <c r="F72" s="64"/>
      <c r="G72" s="64" t="s">
        <v>18</v>
      </c>
      <c r="H72" s="64">
        <f t="shared" si="0"/>
        <v>1322</v>
      </c>
      <c r="I72" s="64">
        <f t="shared" si="0"/>
        <v>39107</v>
      </c>
      <c r="J72" s="64">
        <f t="shared" si="0"/>
        <v>363332096</v>
      </c>
      <c r="K72" s="64">
        <f>9368/3</f>
        <v>3122.6666666666665</v>
      </c>
    </row>
    <row r="73" spans="1:14" x14ac:dyDescent="0.2">
      <c r="A73" s="24" t="s">
        <v>19</v>
      </c>
      <c r="B73" s="64">
        <v>239</v>
      </c>
      <c r="C73" s="64">
        <v>16318</v>
      </c>
      <c r="D73" s="64">
        <v>195963295</v>
      </c>
      <c r="E73" s="64">
        <f>12088/3</f>
        <v>4029.3333333333335</v>
      </c>
      <c r="F73" s="64"/>
      <c r="G73" s="64" t="s">
        <v>19</v>
      </c>
      <c r="H73" s="64">
        <f t="shared" si="0"/>
        <v>408</v>
      </c>
      <c r="I73" s="64">
        <f t="shared" si="0"/>
        <v>28020</v>
      </c>
      <c r="J73" s="64">
        <f t="shared" si="0"/>
        <v>249273298</v>
      </c>
      <c r="K73" s="64">
        <f>8893/3</f>
        <v>2964.3333333333335</v>
      </c>
    </row>
    <row r="74" spans="1:14" x14ac:dyDescent="0.2">
      <c r="A74" s="24" t="s">
        <v>20</v>
      </c>
      <c r="B74" s="64">
        <v>135</v>
      </c>
      <c r="C74" s="64">
        <v>21037</v>
      </c>
      <c r="D74" s="64">
        <v>282390767</v>
      </c>
      <c r="E74" s="64">
        <f>13559/3</f>
        <v>4519.666666666667</v>
      </c>
      <c r="F74" s="64"/>
      <c r="G74" s="64" t="s">
        <v>20</v>
      </c>
      <c r="H74" s="64">
        <f>+B95+H95</f>
        <v>290</v>
      </c>
      <c r="I74" s="64">
        <f t="shared" si="0"/>
        <v>42776</v>
      </c>
      <c r="J74" s="64">
        <f t="shared" si="0"/>
        <v>405269378</v>
      </c>
      <c r="K74" s="64">
        <f>9532/3</f>
        <v>3177.3333333333335</v>
      </c>
    </row>
    <row r="75" spans="1:14" x14ac:dyDescent="0.2">
      <c r="A75" s="24" t="s">
        <v>21</v>
      </c>
      <c r="B75" s="64">
        <v>63</v>
      </c>
      <c r="C75" s="64">
        <v>21853</v>
      </c>
      <c r="D75" s="64">
        <v>374956563</v>
      </c>
      <c r="E75" s="64">
        <f>17169/3</f>
        <v>5723</v>
      </c>
      <c r="F75" s="64"/>
      <c r="G75" s="64" t="s">
        <v>21</v>
      </c>
      <c r="H75" s="64">
        <f t="shared" ref="H75:H76" si="1">+B96+H96</f>
        <v>60</v>
      </c>
      <c r="I75" s="64">
        <f t="shared" si="0"/>
        <v>19416</v>
      </c>
      <c r="J75" s="64">
        <f t="shared" si="0"/>
        <v>158231548</v>
      </c>
      <c r="K75" s="64">
        <f>8217/3</f>
        <v>2739</v>
      </c>
      <c r="M75" s="7"/>
      <c r="N75" s="7"/>
    </row>
    <row r="76" spans="1:14" x14ac:dyDescent="0.2">
      <c r="A76" s="24" t="s">
        <v>23</v>
      </c>
      <c r="B76" s="64">
        <v>17</v>
      </c>
      <c r="C76" s="64">
        <v>11760</v>
      </c>
      <c r="D76" s="64">
        <v>186935091</v>
      </c>
      <c r="E76" s="64">
        <f>15780/3</f>
        <v>5260</v>
      </c>
      <c r="F76" s="64"/>
      <c r="G76" s="64" t="s">
        <v>31</v>
      </c>
      <c r="H76" s="64">
        <f t="shared" si="1"/>
        <v>7</v>
      </c>
      <c r="I76" s="64">
        <f t="shared" si="0"/>
        <v>6477</v>
      </c>
      <c r="J76" s="64">
        <f t="shared" si="0"/>
        <v>112819622</v>
      </c>
      <c r="K76" s="68">
        <f>19948/3</f>
        <v>6649.333333333333</v>
      </c>
      <c r="M76" s="7"/>
      <c r="N76" s="7"/>
    </row>
    <row r="77" spans="1:14" x14ac:dyDescent="0.2">
      <c r="A77" s="24" t="s">
        <v>24</v>
      </c>
      <c r="B77" s="64">
        <v>13</v>
      </c>
      <c r="C77" s="64">
        <v>19821</v>
      </c>
      <c r="D77" s="64">
        <v>296167019</v>
      </c>
      <c r="E77" s="64">
        <f>14951/3</f>
        <v>4983.666666666667</v>
      </c>
      <c r="F77" s="64"/>
      <c r="G77" s="64" t="s">
        <v>32</v>
      </c>
      <c r="H77" s="64"/>
      <c r="I77" s="64"/>
      <c r="J77" s="64"/>
      <c r="K77" s="64"/>
    </row>
    <row r="79" spans="1:14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4" x14ac:dyDescent="0.2">
      <c r="A80" s="74" t="s">
        <v>33</v>
      </c>
      <c r="B80" s="74"/>
      <c r="C80" s="74"/>
      <c r="D80" s="74"/>
      <c r="E80" s="74"/>
      <c r="F80" s="10"/>
      <c r="G80" s="74" t="s">
        <v>34</v>
      </c>
      <c r="H80" s="74"/>
      <c r="I80" s="74"/>
      <c r="J80" s="74"/>
      <c r="K80" s="74"/>
    </row>
    <row r="82" spans="1:11" x14ac:dyDescent="0.2">
      <c r="A82" s="9"/>
      <c r="B82" s="9"/>
      <c r="C82" s="9"/>
      <c r="D82" s="9" t="s">
        <v>2</v>
      </c>
      <c r="E82" s="9" t="s">
        <v>3</v>
      </c>
      <c r="G82" s="9"/>
      <c r="H82" s="9"/>
      <c r="I82" s="9"/>
      <c r="J82" s="9" t="s">
        <v>2</v>
      </c>
      <c r="K82" s="9" t="s">
        <v>3</v>
      </c>
    </row>
    <row r="83" spans="1:11" x14ac:dyDescent="0.2">
      <c r="A83" s="3" t="s">
        <v>4</v>
      </c>
      <c r="B83" s="9" t="s">
        <v>5</v>
      </c>
      <c r="C83" s="9" t="s">
        <v>6</v>
      </c>
      <c r="D83" s="9" t="s">
        <v>7</v>
      </c>
      <c r="E83" s="9" t="s">
        <v>8</v>
      </c>
      <c r="G83" s="3" t="s">
        <v>4</v>
      </c>
      <c r="H83" s="9" t="s">
        <v>5</v>
      </c>
      <c r="I83" s="9" t="s">
        <v>6</v>
      </c>
      <c r="J83" s="9" t="s">
        <v>7</v>
      </c>
      <c r="K83" s="9" t="s">
        <v>8</v>
      </c>
    </row>
    <row r="84" spans="1:11" x14ac:dyDescent="0.2">
      <c r="A84" s="3" t="s">
        <v>9</v>
      </c>
      <c r="B84" s="9" t="s">
        <v>10</v>
      </c>
      <c r="C84" s="9" t="s">
        <v>11</v>
      </c>
      <c r="D84" s="9" t="s">
        <v>12</v>
      </c>
      <c r="E84" s="9" t="s">
        <v>13</v>
      </c>
      <c r="G84" s="3" t="s">
        <v>9</v>
      </c>
      <c r="H84" s="9" t="s">
        <v>10</v>
      </c>
      <c r="I84" s="9" t="s">
        <v>11</v>
      </c>
      <c r="J84" s="9" t="s">
        <v>12</v>
      </c>
      <c r="K84" s="9" t="s">
        <v>13</v>
      </c>
    </row>
    <row r="87" spans="1:11" x14ac:dyDescent="0.2">
      <c r="A87" s="29" t="s">
        <v>27</v>
      </c>
      <c r="B87" s="69">
        <f>SUM(B89:B97)</f>
        <v>5787</v>
      </c>
      <c r="C87" s="69">
        <f>SUM(C89:C97)</f>
        <v>49437</v>
      </c>
      <c r="D87" s="70">
        <f>SUM(D89:D97)</f>
        <v>795825581</v>
      </c>
      <c r="E87" s="33">
        <f>16172/3</f>
        <v>5390.666666666667</v>
      </c>
      <c r="F87" s="69"/>
      <c r="G87" s="69" t="s">
        <v>27</v>
      </c>
      <c r="H87" s="69">
        <f>SUM(H89:H97)</f>
        <v>9470</v>
      </c>
      <c r="I87" s="69">
        <f>SUM(I89:I97)</f>
        <v>153529</v>
      </c>
      <c r="J87" s="70">
        <f>SUM(J89:J97)</f>
        <v>1137721291</v>
      </c>
      <c r="K87" s="70">
        <f>9555/3</f>
        <v>3185</v>
      </c>
    </row>
    <row r="88" spans="1:11" x14ac:dyDescent="0.2">
      <c r="A88" s="27" t="s">
        <v>28</v>
      </c>
      <c r="B88" s="64"/>
      <c r="C88" s="64"/>
      <c r="D88" s="64"/>
      <c r="E88" s="64"/>
      <c r="F88" s="64"/>
      <c r="G88" s="64" t="s">
        <v>28</v>
      </c>
      <c r="H88" s="64"/>
      <c r="I88" s="64"/>
      <c r="J88" s="64"/>
      <c r="K88" s="64"/>
    </row>
    <row r="89" spans="1:11" x14ac:dyDescent="0.2">
      <c r="A89" s="27" t="s">
        <v>15</v>
      </c>
      <c r="B89" s="64">
        <v>593</v>
      </c>
      <c r="C89" s="64">
        <v>0</v>
      </c>
      <c r="D89" s="64">
        <v>2625739</v>
      </c>
      <c r="E89" s="64">
        <f>20354/3</f>
        <v>6784.666666666667</v>
      </c>
      <c r="F89" s="64"/>
      <c r="G89" s="64" t="s">
        <v>15</v>
      </c>
      <c r="H89" s="64">
        <v>809</v>
      </c>
      <c r="I89" s="64">
        <v>0</v>
      </c>
      <c r="J89" s="64">
        <v>3298164</v>
      </c>
      <c r="K89" s="64">
        <f>10616/3</f>
        <v>3538.6666666666665</v>
      </c>
    </row>
    <row r="90" spans="1:11" x14ac:dyDescent="0.2">
      <c r="A90" s="27" t="s">
        <v>16</v>
      </c>
      <c r="B90" s="64">
        <v>3256</v>
      </c>
      <c r="C90" s="64">
        <v>5628</v>
      </c>
      <c r="D90" s="64">
        <v>118900761</v>
      </c>
      <c r="E90" s="64">
        <f>21236/3</f>
        <v>7078.666666666667</v>
      </c>
      <c r="F90" s="64"/>
      <c r="G90" s="64" t="s">
        <v>16</v>
      </c>
      <c r="H90" s="64">
        <v>2955</v>
      </c>
      <c r="I90" s="64">
        <v>6641</v>
      </c>
      <c r="J90" s="64">
        <v>47131646</v>
      </c>
      <c r="K90" s="64">
        <f>13563/3</f>
        <v>4521</v>
      </c>
    </row>
    <row r="91" spans="1:11" x14ac:dyDescent="0.2">
      <c r="A91" s="27" t="s">
        <v>17</v>
      </c>
      <c r="B91" s="64">
        <v>779</v>
      </c>
      <c r="C91" s="64">
        <v>5189</v>
      </c>
      <c r="D91" s="64">
        <v>83859023</v>
      </c>
      <c r="E91" s="64">
        <f>16247/3</f>
        <v>5415.666666666667</v>
      </c>
      <c r="F91" s="64"/>
      <c r="G91" s="64" t="s">
        <v>17</v>
      </c>
      <c r="H91" s="64">
        <v>2227</v>
      </c>
      <c r="I91" s="64">
        <v>15166</v>
      </c>
      <c r="J91" s="64">
        <v>91271851</v>
      </c>
      <c r="K91" s="64">
        <f>8646/3</f>
        <v>2882</v>
      </c>
    </row>
    <row r="92" spans="1:11" x14ac:dyDescent="0.2">
      <c r="A92" s="28" t="s">
        <v>57</v>
      </c>
      <c r="B92" s="64">
        <v>612</v>
      </c>
      <c r="C92" s="64">
        <v>8257</v>
      </c>
      <c r="D92" s="64">
        <v>129177963</v>
      </c>
      <c r="E92" s="64">
        <f>15751/3</f>
        <v>5250.333333333333</v>
      </c>
      <c r="F92" s="64"/>
      <c r="G92" s="66" t="s">
        <v>57</v>
      </c>
      <c r="H92" s="64">
        <v>1939</v>
      </c>
      <c r="I92" s="64">
        <v>26289</v>
      </c>
      <c r="J92" s="64">
        <v>168355783</v>
      </c>
      <c r="K92" s="64">
        <f>8689/3</f>
        <v>2896.3333333333335</v>
      </c>
    </row>
    <row r="93" spans="1:11" x14ac:dyDescent="0.2">
      <c r="A93" s="27" t="s">
        <v>18</v>
      </c>
      <c r="B93" s="64">
        <v>386</v>
      </c>
      <c r="C93" s="64">
        <v>11427</v>
      </c>
      <c r="D93" s="64">
        <v>179915840</v>
      </c>
      <c r="E93" s="64">
        <f>15898/3</f>
        <v>5299.333333333333</v>
      </c>
      <c r="F93" s="64"/>
      <c r="G93" s="64" t="s">
        <v>18</v>
      </c>
      <c r="H93" s="64">
        <v>936</v>
      </c>
      <c r="I93" s="64">
        <v>27680</v>
      </c>
      <c r="J93" s="64">
        <v>183416256</v>
      </c>
      <c r="K93" s="64">
        <f>9368/3</f>
        <v>3122.6666666666665</v>
      </c>
    </row>
    <row r="94" spans="1:11" x14ac:dyDescent="0.2">
      <c r="A94" s="27" t="s">
        <v>19</v>
      </c>
      <c r="B94" s="64">
        <v>102</v>
      </c>
      <c r="C94" s="64">
        <v>6734</v>
      </c>
      <c r="D94" s="64">
        <v>90771100</v>
      </c>
      <c r="E94" s="64">
        <f>13667/3</f>
        <v>4555.666666666667</v>
      </c>
      <c r="F94" s="64"/>
      <c r="G94" s="64" t="s">
        <v>19</v>
      </c>
      <c r="H94" s="64">
        <v>306</v>
      </c>
      <c r="I94" s="64">
        <v>21286</v>
      </c>
      <c r="J94" s="64">
        <v>158502198</v>
      </c>
      <c r="K94" s="64">
        <f>8893/3</f>
        <v>2964.3333333333335</v>
      </c>
    </row>
    <row r="95" spans="1:11" x14ac:dyDescent="0.2">
      <c r="A95" s="27" t="s">
        <v>20</v>
      </c>
      <c r="B95" s="64">
        <v>46</v>
      </c>
      <c r="C95" s="64">
        <v>6655</v>
      </c>
      <c r="D95" s="64">
        <v>109915042</v>
      </c>
      <c r="E95" s="64">
        <f>16633/3</f>
        <v>5544.333333333333</v>
      </c>
      <c r="F95" s="64"/>
      <c r="G95" s="64" t="s">
        <v>20</v>
      </c>
      <c r="H95" s="64">
        <v>244</v>
      </c>
      <c r="I95" s="64">
        <v>36121</v>
      </c>
      <c r="J95" s="64">
        <v>295354336</v>
      </c>
      <c r="K95" s="64">
        <f>9532/3</f>
        <v>3177.3333333333335</v>
      </c>
    </row>
    <row r="96" spans="1:11" x14ac:dyDescent="0.2">
      <c r="A96" s="27" t="s">
        <v>21</v>
      </c>
      <c r="B96" s="64">
        <v>10</v>
      </c>
      <c r="C96" s="64">
        <v>3624</v>
      </c>
      <c r="D96" s="64">
        <v>46391752</v>
      </c>
      <c r="E96" s="68">
        <f>12809/3</f>
        <v>4269.666666666667</v>
      </c>
      <c r="F96" s="64"/>
      <c r="G96" s="64" t="s">
        <v>21</v>
      </c>
      <c r="H96" s="64">
        <v>50</v>
      </c>
      <c r="I96" s="64">
        <v>15792</v>
      </c>
      <c r="J96" s="64">
        <v>111839796</v>
      </c>
      <c r="K96" s="61">
        <f>8217/3</f>
        <v>2739</v>
      </c>
    </row>
    <row r="97" spans="1:11" x14ac:dyDescent="0.2">
      <c r="A97" s="27" t="s">
        <v>31</v>
      </c>
      <c r="B97" s="64">
        <v>3</v>
      </c>
      <c r="C97" s="64">
        <v>1923</v>
      </c>
      <c r="D97" s="64">
        <v>34268361</v>
      </c>
      <c r="E97" s="64">
        <f>17756/3</f>
        <v>5918.666666666667</v>
      </c>
      <c r="F97" s="64"/>
      <c r="G97" s="64" t="s">
        <v>31</v>
      </c>
      <c r="H97" s="64">
        <v>4</v>
      </c>
      <c r="I97" s="64">
        <v>4554</v>
      </c>
      <c r="J97" s="64">
        <v>78551261</v>
      </c>
      <c r="K97" s="61">
        <v>5809</v>
      </c>
    </row>
    <row r="98" spans="1:11" x14ac:dyDescent="0.2">
      <c r="A98" s="75" t="s">
        <v>63</v>
      </c>
      <c r="B98" s="76"/>
      <c r="C98" s="76"/>
      <c r="D98" s="76"/>
      <c r="E98" s="76"/>
      <c r="F98" s="76"/>
      <c r="G98" s="76"/>
      <c r="H98" s="76"/>
      <c r="I98" s="76"/>
    </row>
    <row r="99" spans="1:1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14.25" x14ac:dyDescent="0.2">
      <c r="A100" s="72" t="s">
        <v>64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</row>
    <row r="101" spans="1:1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x14ac:dyDescent="0.2">
      <c r="A105" s="74" t="s">
        <v>35</v>
      </c>
      <c r="B105" s="74"/>
      <c r="C105" s="74"/>
      <c r="D105" s="74"/>
      <c r="E105" s="74"/>
      <c r="F105" s="10"/>
      <c r="G105" s="74" t="s">
        <v>36</v>
      </c>
      <c r="H105" s="74"/>
      <c r="I105" s="74"/>
      <c r="J105" s="74"/>
      <c r="K105" s="74"/>
    </row>
    <row r="107" spans="1:11" x14ac:dyDescent="0.2">
      <c r="A107" s="9"/>
      <c r="B107" s="9"/>
      <c r="C107" s="9"/>
      <c r="D107" s="9" t="s">
        <v>2</v>
      </c>
      <c r="E107" s="9" t="s">
        <v>3</v>
      </c>
      <c r="G107" s="9"/>
      <c r="H107" s="9"/>
      <c r="I107" s="9"/>
      <c r="J107" s="9" t="s">
        <v>2</v>
      </c>
      <c r="K107" s="9" t="s">
        <v>3</v>
      </c>
    </row>
    <row r="108" spans="1:11" x14ac:dyDescent="0.2">
      <c r="A108" s="3" t="s">
        <v>4</v>
      </c>
      <c r="B108" s="9" t="s">
        <v>5</v>
      </c>
      <c r="C108" s="9" t="s">
        <v>6</v>
      </c>
      <c r="D108" s="9" t="s">
        <v>7</v>
      </c>
      <c r="E108" s="9" t="s">
        <v>8</v>
      </c>
      <c r="G108" s="3" t="s">
        <v>4</v>
      </c>
      <c r="H108" s="9" t="s">
        <v>5</v>
      </c>
      <c r="I108" s="9" t="s">
        <v>6</v>
      </c>
      <c r="J108" s="9" t="s">
        <v>7</v>
      </c>
      <c r="K108" s="9" t="s">
        <v>8</v>
      </c>
    </row>
    <row r="109" spans="1:11" x14ac:dyDescent="0.2">
      <c r="A109" s="3" t="s">
        <v>9</v>
      </c>
      <c r="B109" s="9" t="s">
        <v>10</v>
      </c>
      <c r="C109" s="9" t="s">
        <v>11</v>
      </c>
      <c r="D109" s="9" t="s">
        <v>12</v>
      </c>
      <c r="E109" s="9" t="s">
        <v>13</v>
      </c>
      <c r="G109" s="3" t="s">
        <v>9</v>
      </c>
      <c r="H109" s="9" t="s">
        <v>10</v>
      </c>
      <c r="I109" s="9" t="s">
        <v>11</v>
      </c>
      <c r="J109" s="9" t="s">
        <v>12</v>
      </c>
      <c r="K109" s="9" t="s">
        <v>13</v>
      </c>
    </row>
    <row r="112" spans="1:11" x14ac:dyDescent="0.2">
      <c r="A112" s="32" t="s">
        <v>27</v>
      </c>
      <c r="B112" s="69">
        <f>SUM(B114:B123)</f>
        <v>2507</v>
      </c>
      <c r="C112" s="69">
        <f>SUM(C114:C123)</f>
        <v>50947</v>
      </c>
      <c r="D112" s="70">
        <f>SUM(D114:D123)</f>
        <v>593260032</v>
      </c>
      <c r="E112" s="33">
        <f>11688/3</f>
        <v>3896</v>
      </c>
      <c r="F112" s="69"/>
      <c r="G112" s="69" t="s">
        <v>27</v>
      </c>
      <c r="H112" s="69">
        <f>SUM(H114:H123)</f>
        <v>2078</v>
      </c>
      <c r="I112" s="69">
        <f>SUM(I114:I123)</f>
        <v>33460</v>
      </c>
      <c r="J112" s="70">
        <f>SUM(J114:J123)</f>
        <v>574424522</v>
      </c>
      <c r="K112" s="70">
        <f>17311/3</f>
        <v>5770.333333333333</v>
      </c>
    </row>
    <row r="113" spans="1:11" x14ac:dyDescent="0.2">
      <c r="A113" s="30" t="s">
        <v>28</v>
      </c>
      <c r="B113" s="64"/>
      <c r="C113" s="64"/>
      <c r="D113" s="64"/>
      <c r="E113" s="64"/>
      <c r="F113" s="64"/>
      <c r="G113" s="64" t="s">
        <v>28</v>
      </c>
      <c r="H113" s="64"/>
      <c r="I113" s="64"/>
      <c r="J113" s="64"/>
      <c r="K113" s="64"/>
    </row>
    <row r="114" spans="1:11" x14ac:dyDescent="0.2">
      <c r="A114" s="30" t="s">
        <v>15</v>
      </c>
      <c r="B114" s="64">
        <v>277</v>
      </c>
      <c r="C114" s="64">
        <v>0</v>
      </c>
      <c r="D114" s="64">
        <v>1948560</v>
      </c>
      <c r="E114" s="64">
        <f>17244/3</f>
        <v>5748</v>
      </c>
      <c r="F114" s="64"/>
      <c r="G114" s="64" t="s">
        <v>15</v>
      </c>
      <c r="H114" s="64">
        <v>347</v>
      </c>
      <c r="I114" s="64">
        <v>0</v>
      </c>
      <c r="J114" s="64">
        <v>1444835</v>
      </c>
      <c r="K114" s="64">
        <f>10729/3</f>
        <v>3576.3333333333335</v>
      </c>
    </row>
    <row r="115" spans="1:11" x14ac:dyDescent="0.2">
      <c r="A115" s="30" t="s">
        <v>16</v>
      </c>
      <c r="B115" s="64">
        <v>1258</v>
      </c>
      <c r="C115" s="64">
        <v>2315</v>
      </c>
      <c r="D115" s="64">
        <v>24141356</v>
      </c>
      <c r="E115" s="64">
        <f>10027/3</f>
        <v>3342.3333333333335</v>
      </c>
      <c r="F115" s="64"/>
      <c r="G115" s="64" t="s">
        <v>16</v>
      </c>
      <c r="H115" s="64">
        <v>1011</v>
      </c>
      <c r="I115" s="64">
        <v>1713</v>
      </c>
      <c r="J115" s="64">
        <v>32100060</v>
      </c>
      <c r="K115" s="64">
        <f>18820/3</f>
        <v>6273.333333333333</v>
      </c>
    </row>
    <row r="116" spans="1:11" x14ac:dyDescent="0.2">
      <c r="A116" s="30" t="s">
        <v>17</v>
      </c>
      <c r="B116" s="64">
        <v>336</v>
      </c>
      <c r="C116" s="64">
        <v>2216</v>
      </c>
      <c r="D116" s="64">
        <v>21107700</v>
      </c>
      <c r="E116" s="64">
        <f>9640/3</f>
        <v>3213.3333333333335</v>
      </c>
      <c r="F116" s="64"/>
      <c r="G116" s="64" t="s">
        <v>17</v>
      </c>
      <c r="H116" s="64">
        <v>231</v>
      </c>
      <c r="I116" s="64">
        <v>1524</v>
      </c>
      <c r="J116" s="64">
        <v>26225407</v>
      </c>
      <c r="K116" s="64">
        <f>17356/3</f>
        <v>5785.333333333333</v>
      </c>
    </row>
    <row r="117" spans="1:11" x14ac:dyDescent="0.2">
      <c r="A117" s="31" t="s">
        <v>57</v>
      </c>
      <c r="B117" s="64">
        <v>265</v>
      </c>
      <c r="C117" s="64">
        <v>3656</v>
      </c>
      <c r="D117" s="64">
        <v>39177483</v>
      </c>
      <c r="E117" s="64">
        <f>10749/3</f>
        <v>3583</v>
      </c>
      <c r="F117" s="64"/>
      <c r="G117" s="66" t="s">
        <v>57</v>
      </c>
      <c r="H117" s="64">
        <v>188</v>
      </c>
      <c r="I117" s="64">
        <v>2540</v>
      </c>
      <c r="J117" s="64">
        <v>37322381</v>
      </c>
      <c r="K117" s="64">
        <f>14797/3</f>
        <v>4932.333333333333</v>
      </c>
    </row>
    <row r="118" spans="1:11" x14ac:dyDescent="0.2">
      <c r="A118" s="30" t="s">
        <v>18</v>
      </c>
      <c r="B118" s="64">
        <v>212</v>
      </c>
      <c r="C118" s="64">
        <v>6529</v>
      </c>
      <c r="D118" s="64">
        <v>70437557</v>
      </c>
      <c r="E118" s="64">
        <f>10931/3</f>
        <v>3643.6666666666665</v>
      </c>
      <c r="F118" s="64"/>
      <c r="G118" s="64" t="s">
        <v>18</v>
      </c>
      <c r="H118" s="64">
        <v>171</v>
      </c>
      <c r="I118" s="64">
        <v>5337</v>
      </c>
      <c r="J118" s="64">
        <v>67847019</v>
      </c>
      <c r="K118" s="64">
        <f>13119/3</f>
        <v>4373</v>
      </c>
    </row>
    <row r="119" spans="1:11" x14ac:dyDescent="0.2">
      <c r="A119" s="30" t="s">
        <v>19</v>
      </c>
      <c r="B119" s="64">
        <v>75</v>
      </c>
      <c r="C119" s="64">
        <v>5443</v>
      </c>
      <c r="D119" s="64">
        <v>58388851</v>
      </c>
      <c r="E119" s="64">
        <f>10817/3</f>
        <v>3605.6666666666665</v>
      </c>
      <c r="F119" s="64"/>
      <c r="G119" s="64" t="s">
        <v>19</v>
      </c>
      <c r="H119" s="64">
        <v>64</v>
      </c>
      <c r="I119" s="64">
        <v>4557</v>
      </c>
      <c r="J119" s="64">
        <v>74526946</v>
      </c>
      <c r="K119" s="64">
        <f>16437/3</f>
        <v>5479</v>
      </c>
    </row>
    <row r="120" spans="1:11" x14ac:dyDescent="0.2">
      <c r="A120" s="30" t="s">
        <v>20</v>
      </c>
      <c r="B120" s="64">
        <v>51</v>
      </c>
      <c r="C120" s="64">
        <v>7557</v>
      </c>
      <c r="D120" s="64">
        <v>77042244</v>
      </c>
      <c r="E120" s="64">
        <f>10385/3</f>
        <v>3461.6666666666665</v>
      </c>
      <c r="F120" s="64"/>
      <c r="G120" s="64" t="s">
        <v>20</v>
      </c>
      <c r="H120" s="64">
        <v>47</v>
      </c>
      <c r="I120" s="64">
        <v>6933</v>
      </c>
      <c r="J120" s="64">
        <v>99025951</v>
      </c>
      <c r="K120" s="64">
        <f>14468</f>
        <v>14468</v>
      </c>
    </row>
    <row r="121" spans="1:11" x14ac:dyDescent="0.2">
      <c r="A121" s="30" t="s">
        <v>21</v>
      </c>
      <c r="B121" s="64">
        <v>19</v>
      </c>
      <c r="C121" s="64">
        <v>6989</v>
      </c>
      <c r="D121" s="64">
        <v>68192993</v>
      </c>
      <c r="E121" s="64">
        <f>9845/3</f>
        <v>3281.6666666666665</v>
      </c>
      <c r="F121" s="64"/>
      <c r="G121" s="64" t="s">
        <v>21</v>
      </c>
      <c r="H121" s="64">
        <v>11</v>
      </c>
      <c r="I121" s="64">
        <v>4650</v>
      </c>
      <c r="J121" s="64">
        <v>81162462</v>
      </c>
      <c r="K121" s="64">
        <f>17589/3</f>
        <v>5863</v>
      </c>
    </row>
    <row r="122" spans="1:11" x14ac:dyDescent="0.2">
      <c r="A122" s="30" t="s">
        <v>23</v>
      </c>
      <c r="B122" s="64">
        <v>10</v>
      </c>
      <c r="C122" s="64">
        <v>6488</v>
      </c>
      <c r="D122" s="64">
        <v>79285464</v>
      </c>
      <c r="E122" s="64">
        <f>12309/3</f>
        <v>4103</v>
      </c>
      <c r="F122" s="64"/>
      <c r="G122" s="64" t="s">
        <v>23</v>
      </c>
      <c r="H122" s="64">
        <v>5</v>
      </c>
      <c r="I122" s="64">
        <v>2985</v>
      </c>
      <c r="J122" s="64">
        <v>61306012</v>
      </c>
      <c r="K122" s="61">
        <f>20663/3</f>
        <v>6887.666666666667</v>
      </c>
    </row>
    <row r="123" spans="1:11" x14ac:dyDescent="0.2">
      <c r="A123" s="30" t="s">
        <v>24</v>
      </c>
      <c r="B123" s="64">
        <v>4</v>
      </c>
      <c r="C123" s="64">
        <v>9754</v>
      </c>
      <c r="D123" s="64">
        <v>153537824</v>
      </c>
      <c r="E123" s="64">
        <f>15705/3</f>
        <v>5235</v>
      </c>
      <c r="F123" s="64"/>
      <c r="G123" s="64" t="s">
        <v>24</v>
      </c>
      <c r="H123" s="64">
        <v>3</v>
      </c>
      <c r="I123" s="64">
        <v>3221</v>
      </c>
      <c r="J123" s="64">
        <v>93463449</v>
      </c>
      <c r="K123" s="64">
        <f>29416/3</f>
        <v>9805.3333333333339</v>
      </c>
    </row>
    <row r="125" spans="1:1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 x14ac:dyDescent="0.2">
      <c r="A126" s="74" t="s">
        <v>37</v>
      </c>
      <c r="B126" s="74"/>
      <c r="C126" s="74"/>
      <c r="D126" s="74"/>
      <c r="E126" s="74"/>
      <c r="F126" s="10"/>
      <c r="G126" s="74" t="s">
        <v>38</v>
      </c>
      <c r="H126" s="74"/>
      <c r="I126" s="74"/>
      <c r="J126" s="74"/>
      <c r="K126" s="74"/>
    </row>
    <row r="128" spans="1:11" x14ac:dyDescent="0.2">
      <c r="A128" s="9"/>
      <c r="B128" s="9"/>
      <c r="C128" s="9"/>
      <c r="D128" s="9" t="s">
        <v>2</v>
      </c>
      <c r="E128" s="9" t="s">
        <v>3</v>
      </c>
      <c r="G128" s="9"/>
      <c r="H128" s="9"/>
      <c r="I128" s="9"/>
      <c r="J128" s="9" t="s">
        <v>2</v>
      </c>
      <c r="K128" s="9" t="s">
        <v>3</v>
      </c>
    </row>
    <row r="129" spans="1:11" x14ac:dyDescent="0.2">
      <c r="A129" s="3" t="s">
        <v>4</v>
      </c>
      <c r="B129" s="9" t="s">
        <v>5</v>
      </c>
      <c r="C129" s="9" t="s">
        <v>6</v>
      </c>
      <c r="D129" s="9" t="s">
        <v>7</v>
      </c>
      <c r="E129" s="9" t="s">
        <v>8</v>
      </c>
      <c r="G129" s="3" t="s">
        <v>4</v>
      </c>
      <c r="H129" s="9" t="s">
        <v>5</v>
      </c>
      <c r="I129" s="9" t="s">
        <v>6</v>
      </c>
      <c r="J129" s="9" t="s">
        <v>7</v>
      </c>
      <c r="K129" s="9" t="s">
        <v>8</v>
      </c>
    </row>
    <row r="130" spans="1:11" x14ac:dyDescent="0.2">
      <c r="A130" s="3" t="s">
        <v>9</v>
      </c>
      <c r="B130" s="9" t="s">
        <v>10</v>
      </c>
      <c r="C130" s="9" t="s">
        <v>11</v>
      </c>
      <c r="D130" s="9" t="s">
        <v>12</v>
      </c>
      <c r="E130" s="9" t="s">
        <v>13</v>
      </c>
      <c r="G130" s="3" t="s">
        <v>9</v>
      </c>
      <c r="H130" s="9" t="s">
        <v>10</v>
      </c>
      <c r="I130" s="9" t="s">
        <v>11</v>
      </c>
      <c r="J130" s="9" t="s">
        <v>12</v>
      </c>
      <c r="K130" s="9" t="s">
        <v>13</v>
      </c>
    </row>
    <row r="133" spans="1:11" x14ac:dyDescent="0.2">
      <c r="A133" s="36" t="s">
        <v>27</v>
      </c>
      <c r="B133" s="69">
        <f>SUM(B135:B144)</f>
        <v>5491</v>
      </c>
      <c r="C133" s="69">
        <f>SUM(C135:C144)</f>
        <v>59306</v>
      </c>
      <c r="D133" s="70">
        <f>SUM(D135:D144)</f>
        <v>1075504919</v>
      </c>
      <c r="E133" s="70">
        <f>18232/3</f>
        <v>6077.333333333333</v>
      </c>
      <c r="F133" s="69"/>
      <c r="G133" s="69" t="s">
        <v>27</v>
      </c>
      <c r="H133" s="69">
        <f>SUM(H135:H141)</f>
        <v>4885</v>
      </c>
      <c r="I133" s="69">
        <f>SUM(I135:I141)</f>
        <v>18375</v>
      </c>
      <c r="J133" s="70">
        <f>SUM(J135:J141)</f>
        <v>198964425</v>
      </c>
      <c r="K133" s="70">
        <f>10854/3</f>
        <v>3618</v>
      </c>
    </row>
    <row r="134" spans="1:11" x14ac:dyDescent="0.2">
      <c r="A134" s="34" t="s">
        <v>28</v>
      </c>
      <c r="B134" s="64"/>
      <c r="C134" s="64"/>
      <c r="D134" s="64"/>
      <c r="E134" s="64"/>
      <c r="F134" s="64"/>
      <c r="G134" s="64" t="s">
        <v>28</v>
      </c>
      <c r="H134" s="64"/>
      <c r="I134" s="64"/>
      <c r="J134" s="64"/>
      <c r="K134" s="64"/>
    </row>
    <row r="135" spans="1:11" x14ac:dyDescent="0.2">
      <c r="A135" s="34" t="s">
        <v>15</v>
      </c>
      <c r="B135" s="64">
        <v>553</v>
      </c>
      <c r="C135" s="64">
        <v>0</v>
      </c>
      <c r="D135" s="64">
        <v>2074512</v>
      </c>
      <c r="E135" s="64">
        <f>14924/3</f>
        <v>4974.666666666667</v>
      </c>
      <c r="F135" s="64"/>
      <c r="G135" s="64" t="s">
        <v>15</v>
      </c>
      <c r="H135" s="64">
        <v>875</v>
      </c>
      <c r="I135" s="64">
        <v>0</v>
      </c>
      <c r="J135" s="64">
        <v>2236306</v>
      </c>
      <c r="K135" s="64">
        <f>21231/3</f>
        <v>7077</v>
      </c>
    </row>
    <row r="136" spans="1:11" x14ac:dyDescent="0.2">
      <c r="A136" s="34" t="s">
        <v>16</v>
      </c>
      <c r="B136" s="64">
        <v>3006</v>
      </c>
      <c r="C136" s="64">
        <v>5766</v>
      </c>
      <c r="D136" s="64">
        <v>117995894</v>
      </c>
      <c r="E136" s="64">
        <f>20653/3</f>
        <v>6884.333333333333</v>
      </c>
      <c r="F136" s="64"/>
      <c r="G136" s="64" t="s">
        <v>16</v>
      </c>
      <c r="H136" s="64">
        <v>3112</v>
      </c>
      <c r="I136" s="64">
        <v>5170</v>
      </c>
      <c r="J136" s="64">
        <v>48189801</v>
      </c>
      <c r="K136" s="64">
        <f>9500/3</f>
        <v>3166.6666666666665</v>
      </c>
    </row>
    <row r="137" spans="1:11" x14ac:dyDescent="0.2">
      <c r="A137" s="34" t="s">
        <v>17</v>
      </c>
      <c r="B137" s="64">
        <v>1023</v>
      </c>
      <c r="C137" s="64">
        <v>6711</v>
      </c>
      <c r="D137" s="64">
        <v>84278582</v>
      </c>
      <c r="E137" s="64">
        <f>12603/3</f>
        <v>4201</v>
      </c>
      <c r="F137" s="64"/>
      <c r="G137" s="64" t="s">
        <v>17</v>
      </c>
      <c r="H137" s="64">
        <v>529</v>
      </c>
      <c r="I137" s="64">
        <v>3374</v>
      </c>
      <c r="J137" s="64">
        <v>36508352</v>
      </c>
      <c r="K137" s="64">
        <f>10955/3</f>
        <v>3651.6666666666665</v>
      </c>
    </row>
    <row r="138" spans="1:11" x14ac:dyDescent="0.2">
      <c r="A138" s="35" t="s">
        <v>57</v>
      </c>
      <c r="B138" s="64">
        <v>524</v>
      </c>
      <c r="C138" s="64">
        <v>7046</v>
      </c>
      <c r="D138" s="64">
        <v>98939327</v>
      </c>
      <c r="E138" s="64">
        <f>14141/3</f>
        <v>4713.666666666667</v>
      </c>
      <c r="F138" s="64"/>
      <c r="G138" s="66" t="s">
        <v>57</v>
      </c>
      <c r="H138" s="64">
        <v>243</v>
      </c>
      <c r="I138" s="64">
        <v>3194</v>
      </c>
      <c r="J138" s="64">
        <v>34869137</v>
      </c>
      <c r="K138" s="64">
        <f>10975/3</f>
        <v>3658.3333333333335</v>
      </c>
    </row>
    <row r="139" spans="1:11" x14ac:dyDescent="0.2">
      <c r="A139" s="34" t="s">
        <v>18</v>
      </c>
      <c r="B139" s="64">
        <v>229</v>
      </c>
      <c r="C139" s="64">
        <v>6864</v>
      </c>
      <c r="D139" s="64">
        <v>145323960</v>
      </c>
      <c r="E139" s="64">
        <f>21387/3</f>
        <v>7129</v>
      </c>
      <c r="F139" s="64"/>
      <c r="G139" s="64" t="s">
        <v>18</v>
      </c>
      <c r="H139" s="64">
        <v>87</v>
      </c>
      <c r="I139" s="64">
        <v>2630</v>
      </c>
      <c r="J139" s="64">
        <v>31344755</v>
      </c>
      <c r="K139" s="64">
        <f>11285/3</f>
        <v>3761.6666666666665</v>
      </c>
    </row>
    <row r="140" spans="1:11" x14ac:dyDescent="0.2">
      <c r="A140" s="34" t="s">
        <v>19</v>
      </c>
      <c r="B140" s="64">
        <v>80</v>
      </c>
      <c r="C140" s="64">
        <v>5613</v>
      </c>
      <c r="D140" s="64">
        <v>134500971</v>
      </c>
      <c r="E140" s="64">
        <f>24194/3</f>
        <v>8064.666666666667</v>
      </c>
      <c r="F140" s="64"/>
      <c r="G140" s="64" t="s">
        <v>19</v>
      </c>
      <c r="H140" s="64">
        <v>24</v>
      </c>
      <c r="I140" s="64">
        <v>1647</v>
      </c>
      <c r="J140" s="64">
        <v>17445617</v>
      </c>
      <c r="K140" s="64">
        <f>10497/3</f>
        <v>3499</v>
      </c>
    </row>
    <row r="141" spans="1:11" x14ac:dyDescent="0.2">
      <c r="A141" s="34" t="s">
        <v>20</v>
      </c>
      <c r="B141" s="64">
        <v>46</v>
      </c>
      <c r="C141" s="64">
        <v>7033</v>
      </c>
      <c r="D141" s="64">
        <v>128804982</v>
      </c>
      <c r="E141" s="64">
        <f>18436/3</f>
        <v>6145.333333333333</v>
      </c>
      <c r="F141" s="64"/>
      <c r="G141" s="64" t="s">
        <v>39</v>
      </c>
      <c r="H141" s="64">
        <v>15</v>
      </c>
      <c r="I141" s="64">
        <v>2360</v>
      </c>
      <c r="J141" s="64">
        <v>28370457</v>
      </c>
      <c r="K141" s="61">
        <v>4292</v>
      </c>
    </row>
    <row r="142" spans="1:11" x14ac:dyDescent="0.2">
      <c r="A142" s="34" t="s">
        <v>21</v>
      </c>
      <c r="B142" s="64">
        <v>19</v>
      </c>
      <c r="C142" s="64">
        <v>6811</v>
      </c>
      <c r="D142" s="64">
        <v>133875273</v>
      </c>
      <c r="E142" s="64">
        <f>19694/3</f>
        <v>6564.666666666667</v>
      </c>
      <c r="F142" s="64"/>
      <c r="G142" s="64"/>
      <c r="H142" s="64"/>
      <c r="I142" s="64"/>
      <c r="J142" s="64"/>
      <c r="K142" s="64"/>
    </row>
    <row r="143" spans="1:11" x14ac:dyDescent="0.2">
      <c r="A143" s="34" t="s">
        <v>23</v>
      </c>
      <c r="B143" s="64">
        <v>5</v>
      </c>
      <c r="C143" s="64">
        <v>3615</v>
      </c>
      <c r="D143" s="64">
        <v>61664567</v>
      </c>
      <c r="E143" s="64">
        <f>17186/3</f>
        <v>5728.666666666667</v>
      </c>
      <c r="F143" s="64"/>
      <c r="G143" s="64"/>
      <c r="H143" s="64"/>
      <c r="I143" s="64"/>
      <c r="J143" s="64"/>
      <c r="K143" s="64"/>
    </row>
    <row r="144" spans="1:11" x14ac:dyDescent="0.2">
      <c r="A144" s="34" t="s">
        <v>24</v>
      </c>
      <c r="B144" s="64">
        <v>6</v>
      </c>
      <c r="C144" s="64">
        <v>9847</v>
      </c>
      <c r="D144" s="64">
        <v>168046851</v>
      </c>
      <c r="E144" s="64">
        <f>17273/3</f>
        <v>5757.666666666667</v>
      </c>
      <c r="F144" s="64"/>
      <c r="G144" s="64"/>
      <c r="H144" s="64"/>
      <c r="I144" s="64"/>
      <c r="J144" s="64"/>
      <c r="K144" s="64"/>
    </row>
    <row r="146" spans="1:11" x14ac:dyDescent="0.2">
      <c r="A146" s="75" t="s">
        <v>63</v>
      </c>
      <c r="B146" s="76"/>
      <c r="C146" s="76"/>
      <c r="D146" s="76"/>
      <c r="E146" s="76"/>
      <c r="F146" s="76"/>
      <c r="G146" s="76"/>
      <c r="H146" s="76"/>
      <c r="I146" s="76"/>
    </row>
    <row r="148" spans="1:1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14.25" x14ac:dyDescent="0.2">
      <c r="A149" s="72" t="s">
        <v>64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73"/>
    </row>
    <row r="150" spans="1:1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 x14ac:dyDescent="0.2">
      <c r="A154" s="74" t="s">
        <v>40</v>
      </c>
      <c r="B154" s="74"/>
      <c r="C154" s="74"/>
      <c r="D154" s="74"/>
      <c r="E154" s="74"/>
      <c r="F154" s="10"/>
      <c r="G154" s="74" t="s">
        <v>41</v>
      </c>
      <c r="H154" s="74"/>
      <c r="I154" s="74"/>
      <c r="J154" s="74"/>
      <c r="K154" s="74"/>
    </row>
    <row r="156" spans="1:11" x14ac:dyDescent="0.2">
      <c r="A156" s="9"/>
      <c r="B156" s="9"/>
      <c r="C156" s="9"/>
      <c r="D156" s="9" t="s">
        <v>2</v>
      </c>
      <c r="E156" s="9" t="s">
        <v>3</v>
      </c>
      <c r="G156" s="9"/>
      <c r="H156" s="9"/>
      <c r="I156" s="9"/>
      <c r="J156" s="9" t="s">
        <v>2</v>
      </c>
      <c r="K156" s="9" t="s">
        <v>3</v>
      </c>
    </row>
    <row r="157" spans="1:11" x14ac:dyDescent="0.2">
      <c r="A157" s="3" t="s">
        <v>4</v>
      </c>
      <c r="B157" s="9" t="s">
        <v>5</v>
      </c>
      <c r="C157" s="9" t="s">
        <v>6</v>
      </c>
      <c r="D157" s="9" t="s">
        <v>7</v>
      </c>
      <c r="E157" s="9" t="s">
        <v>8</v>
      </c>
      <c r="G157" s="3" t="s">
        <v>4</v>
      </c>
      <c r="H157" s="9" t="s">
        <v>5</v>
      </c>
      <c r="I157" s="9" t="s">
        <v>6</v>
      </c>
      <c r="J157" s="9" t="s">
        <v>7</v>
      </c>
      <c r="K157" s="9" t="s">
        <v>8</v>
      </c>
    </row>
    <row r="158" spans="1:11" x14ac:dyDescent="0.2">
      <c r="A158" s="3" t="s">
        <v>9</v>
      </c>
      <c r="B158" s="9" t="s">
        <v>10</v>
      </c>
      <c r="C158" s="9" t="s">
        <v>11</v>
      </c>
      <c r="D158" s="9" t="s">
        <v>12</v>
      </c>
      <c r="E158" s="9" t="s">
        <v>13</v>
      </c>
      <c r="G158" s="3" t="s">
        <v>9</v>
      </c>
      <c r="H158" s="9" t="s">
        <v>10</v>
      </c>
      <c r="I158" s="9" t="s">
        <v>11</v>
      </c>
      <c r="J158" s="9" t="s">
        <v>12</v>
      </c>
      <c r="K158" s="9" t="s">
        <v>13</v>
      </c>
    </row>
    <row r="161" spans="1:11" x14ac:dyDescent="0.2">
      <c r="A161" s="39" t="s">
        <v>27</v>
      </c>
      <c r="B161" s="69">
        <f>SUM(B163:B171)</f>
        <v>13338</v>
      </c>
      <c r="C161" s="69">
        <f>SUM(C163:C171)</f>
        <v>86171</v>
      </c>
      <c r="D161" s="69">
        <f>SUM(D163:D171)</f>
        <v>1367468104</v>
      </c>
      <c r="E161" s="70">
        <f>15974/3</f>
        <v>5324.666666666667</v>
      </c>
      <c r="F161" s="69"/>
      <c r="G161" s="69" t="s">
        <v>27</v>
      </c>
      <c r="H161" s="69">
        <f>SUM(H163:H172)</f>
        <v>715</v>
      </c>
      <c r="I161" s="69">
        <f>SUM(I163:I172)</f>
        <v>19877</v>
      </c>
      <c r="J161" s="70">
        <f>SUM(J163:J172)</f>
        <v>450765596</v>
      </c>
      <c r="K161" s="70">
        <f>22772/3</f>
        <v>7590.666666666667</v>
      </c>
    </row>
    <row r="162" spans="1:11" x14ac:dyDescent="0.2">
      <c r="A162" s="37" t="s">
        <v>28</v>
      </c>
      <c r="B162" s="64"/>
      <c r="C162" s="64"/>
      <c r="D162" s="64"/>
      <c r="E162" s="64"/>
      <c r="F162" s="64"/>
      <c r="G162" s="64" t="s">
        <v>28</v>
      </c>
      <c r="H162" s="64"/>
      <c r="I162" s="64"/>
      <c r="J162" s="64"/>
      <c r="K162" s="64"/>
    </row>
    <row r="163" spans="1:11" x14ac:dyDescent="0.2">
      <c r="A163" s="37" t="s">
        <v>15</v>
      </c>
      <c r="B163" s="64">
        <v>2403</v>
      </c>
      <c r="C163" s="64">
        <v>0</v>
      </c>
      <c r="D163" s="64">
        <v>10075699</v>
      </c>
      <c r="E163" s="64">
        <f>19552/3</f>
        <v>6517.333333333333</v>
      </c>
      <c r="F163" s="64"/>
      <c r="G163" s="64" t="s">
        <v>15</v>
      </c>
      <c r="H163" s="64">
        <v>83</v>
      </c>
      <c r="I163" s="64">
        <v>0</v>
      </c>
      <c r="J163" s="64">
        <v>226398</v>
      </c>
      <c r="K163" s="64">
        <f>17415/3</f>
        <v>5805</v>
      </c>
    </row>
    <row r="164" spans="1:11" x14ac:dyDescent="0.2">
      <c r="A164" s="37" t="s">
        <v>16</v>
      </c>
      <c r="B164" s="64">
        <v>8022</v>
      </c>
      <c r="C164" s="64">
        <v>12969</v>
      </c>
      <c r="D164" s="64">
        <v>183599462</v>
      </c>
      <c r="E164" s="64">
        <f>14439/3</f>
        <v>4813</v>
      </c>
      <c r="F164" s="64"/>
      <c r="G164" s="64" t="s">
        <v>16</v>
      </c>
      <c r="H164" s="64">
        <v>334</v>
      </c>
      <c r="I164" s="64">
        <v>560</v>
      </c>
      <c r="J164" s="64">
        <v>10690156</v>
      </c>
      <c r="K164" s="64">
        <f>19460/3</f>
        <v>6486.666666666667</v>
      </c>
    </row>
    <row r="165" spans="1:11" x14ac:dyDescent="0.2">
      <c r="A165" s="37" t="s">
        <v>17</v>
      </c>
      <c r="B165" s="64">
        <v>1336</v>
      </c>
      <c r="C165" s="64">
        <v>8751</v>
      </c>
      <c r="D165" s="64">
        <v>120881378</v>
      </c>
      <c r="E165" s="64">
        <f>13964/3</f>
        <v>4654.666666666667</v>
      </c>
      <c r="F165" s="64"/>
      <c r="G165" s="64" t="s">
        <v>17</v>
      </c>
      <c r="H165" s="64">
        <v>77</v>
      </c>
      <c r="I165" s="64">
        <v>508</v>
      </c>
      <c r="J165" s="64">
        <v>10270843</v>
      </c>
      <c r="K165" s="64">
        <f>20060/3</f>
        <v>6686.666666666667</v>
      </c>
    </row>
    <row r="166" spans="1:11" x14ac:dyDescent="0.2">
      <c r="A166" s="38" t="s">
        <v>57</v>
      </c>
      <c r="B166" s="64">
        <v>797</v>
      </c>
      <c r="C166" s="64">
        <v>10640</v>
      </c>
      <c r="D166" s="64">
        <v>155995360</v>
      </c>
      <c r="E166" s="64">
        <f>14811/3</f>
        <v>4937</v>
      </c>
      <c r="F166" s="64"/>
      <c r="G166" s="66" t="s">
        <v>57</v>
      </c>
      <c r="H166" s="64">
        <v>83</v>
      </c>
      <c r="I166" s="64">
        <v>1150</v>
      </c>
      <c r="J166" s="64">
        <v>19660086</v>
      </c>
      <c r="K166" s="64">
        <f>17301/3</f>
        <v>5767</v>
      </c>
    </row>
    <row r="167" spans="1:11" x14ac:dyDescent="0.2">
      <c r="A167" s="37" t="s">
        <v>18</v>
      </c>
      <c r="B167" s="64">
        <v>506</v>
      </c>
      <c r="C167" s="64">
        <v>15319</v>
      </c>
      <c r="D167" s="64">
        <v>238753906</v>
      </c>
      <c r="E167" s="64">
        <f>15787/3</f>
        <v>5262.333333333333</v>
      </c>
      <c r="F167" s="64"/>
      <c r="G167" s="64" t="s">
        <v>18</v>
      </c>
      <c r="H167" s="64">
        <v>60</v>
      </c>
      <c r="I167" s="64">
        <v>1942</v>
      </c>
      <c r="J167" s="64">
        <v>55369223</v>
      </c>
      <c r="K167" s="64">
        <f>28684/3</f>
        <v>9561.3333333333339</v>
      </c>
    </row>
    <row r="168" spans="1:11" x14ac:dyDescent="0.2">
      <c r="A168" s="37" t="s">
        <v>19</v>
      </c>
      <c r="B168" s="64">
        <v>146</v>
      </c>
      <c r="C168" s="64">
        <v>10117</v>
      </c>
      <c r="D168" s="64">
        <v>171004380</v>
      </c>
      <c r="E168" s="64">
        <f>17318/3</f>
        <v>5772.666666666667</v>
      </c>
      <c r="F168" s="64"/>
      <c r="G168" s="64" t="s">
        <v>19</v>
      </c>
      <c r="H168" s="64">
        <v>36</v>
      </c>
      <c r="I168" s="64">
        <v>2366</v>
      </c>
      <c r="J168" s="64">
        <v>66282137</v>
      </c>
      <c r="K168" s="64">
        <f>28121/3</f>
        <v>9373.6666666666661</v>
      </c>
    </row>
    <row r="169" spans="1:11" x14ac:dyDescent="0.2">
      <c r="A169" s="37" t="s">
        <v>20</v>
      </c>
      <c r="B169" s="64">
        <v>95</v>
      </c>
      <c r="C169" s="64">
        <v>13932</v>
      </c>
      <c r="D169" s="64">
        <v>268630133</v>
      </c>
      <c r="E169" s="64">
        <f>19370/3</f>
        <v>6456.666666666667</v>
      </c>
      <c r="F169" s="64"/>
      <c r="G169" s="64" t="s">
        <v>20</v>
      </c>
      <c r="H169" s="64">
        <v>28</v>
      </c>
      <c r="I169" s="64">
        <v>4359</v>
      </c>
      <c r="J169" s="64">
        <v>113785681</v>
      </c>
      <c r="K169" s="64">
        <f>26141/3</f>
        <v>8713.6666666666661</v>
      </c>
    </row>
    <row r="170" spans="1:11" x14ac:dyDescent="0.2">
      <c r="A170" s="37" t="s">
        <v>21</v>
      </c>
      <c r="B170" s="56">
        <v>23</v>
      </c>
      <c r="C170" s="64">
        <v>8048</v>
      </c>
      <c r="D170" s="64">
        <v>132021330</v>
      </c>
      <c r="E170" s="64">
        <f>16568/3</f>
        <v>5522.666666666667</v>
      </c>
      <c r="F170" s="64"/>
      <c r="G170" s="64" t="s">
        <v>21</v>
      </c>
      <c r="H170" s="64">
        <v>8</v>
      </c>
      <c r="I170" s="64">
        <v>2818</v>
      </c>
      <c r="J170" s="64">
        <v>67598482</v>
      </c>
      <c r="K170" s="64">
        <f>23870/3</f>
        <v>7956.666666666667</v>
      </c>
    </row>
    <row r="171" spans="1:11" x14ac:dyDescent="0.2">
      <c r="A171" s="37" t="s">
        <v>31</v>
      </c>
      <c r="B171" s="64">
        <v>10</v>
      </c>
      <c r="C171" s="64">
        <v>6395</v>
      </c>
      <c r="D171" s="64">
        <v>86506456</v>
      </c>
      <c r="E171" s="64">
        <f>13622/3</f>
        <v>4540.666666666667</v>
      </c>
      <c r="F171" s="64"/>
      <c r="G171" s="64" t="s">
        <v>31</v>
      </c>
      <c r="H171" s="64">
        <v>6</v>
      </c>
      <c r="I171" s="64">
        <v>6174</v>
      </c>
      <c r="J171" s="64">
        <v>106882590</v>
      </c>
      <c r="K171" s="61">
        <v>5829</v>
      </c>
    </row>
    <row r="174" spans="1:1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x14ac:dyDescent="0.2">
      <c r="A175" s="74" t="s">
        <v>42</v>
      </c>
      <c r="B175" s="74"/>
      <c r="C175" s="74"/>
      <c r="D175" s="74"/>
      <c r="E175" s="74"/>
      <c r="F175" s="74"/>
      <c r="G175" s="74" t="s">
        <v>61</v>
      </c>
      <c r="H175" s="74"/>
      <c r="I175" s="74"/>
      <c r="J175" s="74"/>
      <c r="K175" s="74"/>
    </row>
    <row r="177" spans="1:11" x14ac:dyDescent="0.2">
      <c r="A177" s="9"/>
      <c r="B177" s="9"/>
      <c r="C177" s="9"/>
      <c r="D177" s="9" t="s">
        <v>2</v>
      </c>
      <c r="E177" s="9" t="s">
        <v>3</v>
      </c>
      <c r="G177" s="9"/>
      <c r="H177" s="9"/>
      <c r="I177" s="9"/>
      <c r="J177" s="9" t="s">
        <v>2</v>
      </c>
      <c r="K177" s="9" t="s">
        <v>3</v>
      </c>
    </row>
    <row r="178" spans="1:11" x14ac:dyDescent="0.2">
      <c r="A178" s="3" t="s">
        <v>4</v>
      </c>
      <c r="B178" s="9" t="s">
        <v>5</v>
      </c>
      <c r="C178" s="9" t="s">
        <v>6</v>
      </c>
      <c r="D178" s="9" t="s">
        <v>7</v>
      </c>
      <c r="E178" s="9" t="s">
        <v>8</v>
      </c>
      <c r="G178" s="3" t="s">
        <v>4</v>
      </c>
      <c r="H178" s="9" t="s">
        <v>5</v>
      </c>
      <c r="I178" s="9" t="s">
        <v>6</v>
      </c>
      <c r="J178" s="9" t="s">
        <v>7</v>
      </c>
      <c r="K178" s="9" t="s">
        <v>8</v>
      </c>
    </row>
    <row r="179" spans="1:11" x14ac:dyDescent="0.2">
      <c r="A179" s="3" t="s">
        <v>9</v>
      </c>
      <c r="B179" s="9" t="s">
        <v>10</v>
      </c>
      <c r="C179" s="9" t="s">
        <v>11</v>
      </c>
      <c r="D179" s="9" t="s">
        <v>12</v>
      </c>
      <c r="E179" s="9" t="s">
        <v>13</v>
      </c>
      <c r="G179" s="3" t="s">
        <v>9</v>
      </c>
      <c r="H179" s="9" t="s">
        <v>10</v>
      </c>
      <c r="I179" s="9" t="s">
        <v>11</v>
      </c>
      <c r="J179" s="9" t="s">
        <v>12</v>
      </c>
      <c r="K179" s="9" t="s">
        <v>13</v>
      </c>
    </row>
    <row r="182" spans="1:11" x14ac:dyDescent="0.2">
      <c r="A182" s="42" t="s">
        <v>27</v>
      </c>
      <c r="B182" s="69">
        <f>SUM(B184:B193)</f>
        <v>5327</v>
      </c>
      <c r="C182" s="69">
        <f>SUM(C184:C193)</f>
        <v>82619</v>
      </c>
      <c r="D182" s="70">
        <f>SUM(D184:D193)</f>
        <v>633508784</v>
      </c>
      <c r="E182" s="70">
        <f>7763/3</f>
        <v>2587.6666666666665</v>
      </c>
      <c r="F182" s="69"/>
      <c r="G182" s="69" t="s">
        <v>27</v>
      </c>
      <c r="H182" s="69">
        <f>SUM(H184:H192)</f>
        <v>1387</v>
      </c>
      <c r="I182" s="69">
        <f>SUM(I184:I192)</f>
        <v>43997</v>
      </c>
      <c r="J182" s="70">
        <f>SUM(J184:J192)</f>
        <v>298572479</v>
      </c>
      <c r="K182" s="70">
        <f>6866/3</f>
        <v>2288.6666666666665</v>
      </c>
    </row>
    <row r="183" spans="1:11" x14ac:dyDescent="0.2">
      <c r="A183" s="40" t="s">
        <v>28</v>
      </c>
      <c r="B183" s="64"/>
      <c r="C183" s="64"/>
      <c r="D183" s="64"/>
      <c r="E183" s="64"/>
      <c r="F183" s="64"/>
      <c r="G183" s="64" t="s">
        <v>28</v>
      </c>
      <c r="H183" s="64"/>
      <c r="I183" s="64"/>
      <c r="J183" s="64"/>
      <c r="K183" s="64"/>
    </row>
    <row r="184" spans="1:11" x14ac:dyDescent="0.2">
      <c r="A184" s="40" t="s">
        <v>15</v>
      </c>
      <c r="B184" s="64">
        <v>1051</v>
      </c>
      <c r="C184" s="64">
        <v>0</v>
      </c>
      <c r="D184" s="64">
        <v>5545974</v>
      </c>
      <c r="E184" s="64">
        <f>5203/3</f>
        <v>1734.3333333333333</v>
      </c>
      <c r="F184" s="64"/>
      <c r="G184" s="64" t="s">
        <v>15</v>
      </c>
      <c r="H184" s="64">
        <v>200</v>
      </c>
      <c r="I184" s="64">
        <v>0</v>
      </c>
      <c r="J184" s="64">
        <v>551097</v>
      </c>
      <c r="K184" s="64">
        <f>6383/3</f>
        <v>2127.6666666666665</v>
      </c>
    </row>
    <row r="185" spans="1:11" x14ac:dyDescent="0.2">
      <c r="A185" s="40" t="s">
        <v>16</v>
      </c>
      <c r="B185" s="64">
        <v>2483</v>
      </c>
      <c r="C185" s="64">
        <v>4568</v>
      </c>
      <c r="D185" s="64">
        <v>40844835</v>
      </c>
      <c r="E185" s="64">
        <f>9267/3</f>
        <v>3089</v>
      </c>
      <c r="F185" s="64"/>
      <c r="G185" s="64" t="s">
        <v>16</v>
      </c>
      <c r="H185" s="64">
        <v>553</v>
      </c>
      <c r="I185" s="64">
        <v>986</v>
      </c>
      <c r="J185" s="64">
        <v>8669139</v>
      </c>
      <c r="K185" s="64">
        <f>8843/3</f>
        <v>2947.6666666666665</v>
      </c>
    </row>
    <row r="186" spans="1:11" x14ac:dyDescent="0.2">
      <c r="A186" s="40" t="s">
        <v>17</v>
      </c>
      <c r="B186" s="64">
        <v>733</v>
      </c>
      <c r="C186" s="64">
        <v>4802</v>
      </c>
      <c r="D186" s="64">
        <v>38194255</v>
      </c>
      <c r="E186" s="64">
        <f>8339/3</f>
        <v>2779.6666666666665</v>
      </c>
      <c r="F186" s="64"/>
      <c r="G186" s="64" t="s">
        <v>17</v>
      </c>
      <c r="H186" s="64">
        <v>179</v>
      </c>
      <c r="I186" s="64">
        <v>1221</v>
      </c>
      <c r="J186" s="64">
        <v>6056019</v>
      </c>
      <c r="K186" s="64">
        <f>5129/3</f>
        <v>1709.6666666666667</v>
      </c>
    </row>
    <row r="187" spans="1:11" x14ac:dyDescent="0.2">
      <c r="A187" s="41" t="s">
        <v>57</v>
      </c>
      <c r="B187" s="64">
        <v>462</v>
      </c>
      <c r="C187" s="64">
        <v>6214</v>
      </c>
      <c r="D187" s="64">
        <v>52076962</v>
      </c>
      <c r="E187" s="64">
        <f>8564/3</f>
        <v>2854.6666666666665</v>
      </c>
      <c r="F187" s="64"/>
      <c r="G187" s="66" t="s">
        <v>57</v>
      </c>
      <c r="H187" s="64">
        <v>173</v>
      </c>
      <c r="I187" s="64">
        <v>2385</v>
      </c>
      <c r="J187" s="64">
        <v>13955973</v>
      </c>
      <c r="K187" s="64">
        <f>5909/3</f>
        <v>1969.6666666666667</v>
      </c>
    </row>
    <row r="188" spans="1:11" x14ac:dyDescent="0.2">
      <c r="A188" s="40" t="s">
        <v>18</v>
      </c>
      <c r="B188" s="64">
        <v>297</v>
      </c>
      <c r="C188" s="64">
        <v>9019</v>
      </c>
      <c r="D188" s="64">
        <v>83534085</v>
      </c>
      <c r="E188" s="64">
        <f>9481/3</f>
        <v>3160.3333333333335</v>
      </c>
      <c r="F188" s="64"/>
      <c r="G188" s="64" t="s">
        <v>18</v>
      </c>
      <c r="H188" s="64">
        <v>163</v>
      </c>
      <c r="I188" s="64">
        <v>5215</v>
      </c>
      <c r="J188" s="64">
        <v>35851657</v>
      </c>
      <c r="K188" s="64">
        <f>7019/3</f>
        <v>2339.6666666666665</v>
      </c>
    </row>
    <row r="189" spans="1:11" x14ac:dyDescent="0.2">
      <c r="A189" s="40" t="s">
        <v>19</v>
      </c>
      <c r="B189" s="64">
        <v>141</v>
      </c>
      <c r="C189" s="64">
        <v>9594</v>
      </c>
      <c r="D189" s="64">
        <v>84112841</v>
      </c>
      <c r="E189" s="64">
        <f>9074/3</f>
        <v>3024.6666666666665</v>
      </c>
      <c r="F189" s="64"/>
      <c r="G189" s="64" t="s">
        <v>19</v>
      </c>
      <c r="H189" s="64">
        <v>74</v>
      </c>
      <c r="I189" s="64">
        <v>5167</v>
      </c>
      <c r="J189" s="64">
        <v>41292340</v>
      </c>
      <c r="K189" s="64">
        <f>8104/3</f>
        <v>2701.3333333333335</v>
      </c>
    </row>
    <row r="190" spans="1:11" x14ac:dyDescent="0.2">
      <c r="A190" s="40" t="s">
        <v>20</v>
      </c>
      <c r="B190" s="64">
        <v>99</v>
      </c>
      <c r="C190" s="64">
        <v>15174</v>
      </c>
      <c r="D190" s="64">
        <v>98103942</v>
      </c>
      <c r="E190" s="64">
        <f>6816/3</f>
        <v>2272</v>
      </c>
      <c r="F190" s="64"/>
      <c r="G190" s="64" t="s">
        <v>20</v>
      </c>
      <c r="H190" s="64">
        <v>34</v>
      </c>
      <c r="I190" s="64">
        <v>4801</v>
      </c>
      <c r="J190" s="64">
        <v>45868472</v>
      </c>
      <c r="K190" s="64">
        <f>9557/3</f>
        <v>3185.6666666666665</v>
      </c>
    </row>
    <row r="191" spans="1:11" x14ac:dyDescent="0.2">
      <c r="A191" s="40" t="s">
        <v>21</v>
      </c>
      <c r="B191" s="64">
        <v>37</v>
      </c>
      <c r="C191" s="64">
        <v>12186</v>
      </c>
      <c r="D191" s="64">
        <v>99324290</v>
      </c>
      <c r="E191" s="64">
        <f>8374/3</f>
        <v>2791.3333333333335</v>
      </c>
      <c r="F191" s="64"/>
      <c r="G191" s="64" t="s">
        <v>60</v>
      </c>
      <c r="H191" s="64">
        <v>6</v>
      </c>
      <c r="I191" s="64">
        <v>2008</v>
      </c>
      <c r="J191" s="64">
        <v>15414176</v>
      </c>
      <c r="K191" s="64">
        <f>7751/3</f>
        <v>2583.6666666666665</v>
      </c>
    </row>
    <row r="192" spans="1:11" x14ac:dyDescent="0.2">
      <c r="A192" s="40" t="s">
        <v>23</v>
      </c>
      <c r="B192" s="64">
        <v>19</v>
      </c>
      <c r="C192" s="64">
        <v>13579</v>
      </c>
      <c r="D192" s="64">
        <v>91439624</v>
      </c>
      <c r="E192" s="64">
        <f>6692/3</f>
        <v>2230.6666666666665</v>
      </c>
      <c r="F192" s="64"/>
      <c r="G192" s="64" t="s">
        <v>59</v>
      </c>
      <c r="H192" s="64">
        <v>5</v>
      </c>
      <c r="I192" s="64">
        <v>22214</v>
      </c>
      <c r="J192" s="64">
        <v>130913606</v>
      </c>
      <c r="K192" s="61">
        <v>1994</v>
      </c>
    </row>
    <row r="193" spans="1:15" x14ac:dyDescent="0.2">
      <c r="A193" s="40" t="s">
        <v>24</v>
      </c>
      <c r="B193" s="64">
        <v>5</v>
      </c>
      <c r="C193" s="64">
        <v>7483</v>
      </c>
      <c r="D193" s="64">
        <v>40331976</v>
      </c>
      <c r="E193" s="64">
        <f>5395/3</f>
        <v>1798.3333333333333</v>
      </c>
      <c r="F193" s="64"/>
      <c r="G193" s="64"/>
      <c r="H193" s="64"/>
      <c r="I193" s="64"/>
      <c r="J193" s="64"/>
      <c r="K193" s="64"/>
    </row>
    <row r="195" spans="1:15" x14ac:dyDescent="0.2">
      <c r="A195" s="75" t="s">
        <v>63</v>
      </c>
      <c r="B195" s="76"/>
      <c r="C195" s="76"/>
      <c r="D195" s="76"/>
      <c r="E195" s="76"/>
      <c r="F195" s="76"/>
      <c r="G195" s="76"/>
      <c r="H195" s="76"/>
      <c r="I195" s="76"/>
    </row>
    <row r="196" spans="1:15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5" ht="14.25" x14ac:dyDescent="0.2">
      <c r="A197" s="72" t="s">
        <v>64</v>
      </c>
      <c r="B197" s="73"/>
      <c r="C197" s="73"/>
      <c r="D197" s="73"/>
      <c r="E197" s="73"/>
      <c r="F197" s="73"/>
      <c r="G197" s="73"/>
      <c r="H197" s="73"/>
      <c r="I197" s="73"/>
      <c r="J197" s="73"/>
      <c r="K197" s="73"/>
    </row>
    <row r="198" spans="1:15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5" x14ac:dyDescent="0.2">
      <c r="A199" s="11"/>
      <c r="B199" s="11"/>
      <c r="C199" s="11"/>
      <c r="D199" s="77"/>
      <c r="E199" s="78"/>
      <c r="F199" s="78"/>
      <c r="G199" s="78"/>
      <c r="H199" s="78"/>
      <c r="I199" s="11"/>
      <c r="J199" s="11"/>
      <c r="K199" s="11"/>
    </row>
    <row r="200" spans="1:15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5" x14ac:dyDescent="0.2">
      <c r="A202" s="74" t="s">
        <v>43</v>
      </c>
      <c r="B202" s="74"/>
      <c r="C202" s="74"/>
      <c r="D202" s="74"/>
      <c r="E202" s="74"/>
      <c r="F202" s="10"/>
      <c r="G202" s="74" t="s">
        <v>44</v>
      </c>
      <c r="H202" s="74"/>
      <c r="I202" s="74"/>
      <c r="J202" s="74"/>
      <c r="K202" s="74"/>
    </row>
    <row r="204" spans="1:15" x14ac:dyDescent="0.2">
      <c r="A204" s="9"/>
      <c r="B204" s="9"/>
      <c r="C204" s="9"/>
      <c r="D204" s="9" t="s">
        <v>2</v>
      </c>
      <c r="E204" s="9" t="s">
        <v>3</v>
      </c>
      <c r="G204" s="9"/>
      <c r="H204" s="9"/>
      <c r="I204" s="9"/>
      <c r="J204" s="9" t="s">
        <v>2</v>
      </c>
      <c r="K204" s="9" t="s">
        <v>3</v>
      </c>
    </row>
    <row r="205" spans="1:15" x14ac:dyDescent="0.2">
      <c r="A205" s="3" t="s">
        <v>4</v>
      </c>
      <c r="B205" s="9" t="s">
        <v>5</v>
      </c>
      <c r="C205" s="9" t="s">
        <v>6</v>
      </c>
      <c r="D205" s="9" t="s">
        <v>7</v>
      </c>
      <c r="E205" s="9" t="s">
        <v>8</v>
      </c>
      <c r="G205" s="3" t="s">
        <v>4</v>
      </c>
      <c r="H205" s="9" t="s">
        <v>5</v>
      </c>
      <c r="I205" s="9" t="s">
        <v>6</v>
      </c>
      <c r="J205" s="9" t="s">
        <v>7</v>
      </c>
      <c r="K205" s="9" t="s">
        <v>8</v>
      </c>
    </row>
    <row r="206" spans="1:15" x14ac:dyDescent="0.2">
      <c r="A206" s="3" t="s">
        <v>9</v>
      </c>
      <c r="B206" s="9" t="s">
        <v>10</v>
      </c>
      <c r="C206" s="9" t="s">
        <v>11</v>
      </c>
      <c r="D206" s="9" t="s">
        <v>12</v>
      </c>
      <c r="E206" s="9" t="s">
        <v>13</v>
      </c>
      <c r="G206" s="3" t="s">
        <v>9</v>
      </c>
      <c r="H206" s="9" t="s">
        <v>10</v>
      </c>
      <c r="I206" s="9" t="s">
        <v>11</v>
      </c>
      <c r="J206" s="9" t="s">
        <v>12</v>
      </c>
      <c r="K206" s="9" t="s">
        <v>13</v>
      </c>
    </row>
    <row r="208" spans="1:15" x14ac:dyDescent="0.2">
      <c r="O208" s="6" t="s">
        <v>28</v>
      </c>
    </row>
    <row r="209" spans="1:24" x14ac:dyDescent="0.2">
      <c r="A209" s="45" t="s">
        <v>27</v>
      </c>
      <c r="B209" s="69">
        <f>SUM(B211:B220)</f>
        <v>9273</v>
      </c>
      <c r="C209" s="69">
        <f>SUM(C211:C220)</f>
        <v>137965</v>
      </c>
      <c r="D209" s="70">
        <f>SUM(D211:D220)</f>
        <v>1268214166</v>
      </c>
      <c r="E209" s="70">
        <f>9227/3</f>
        <v>3075.6666666666665</v>
      </c>
      <c r="F209" s="69"/>
      <c r="G209" s="69" t="s">
        <v>27</v>
      </c>
      <c r="H209" s="69">
        <f>SUM(H211:H220)</f>
        <v>1133</v>
      </c>
      <c r="I209" s="69">
        <f>SUM(I211:I220)</f>
        <v>21325</v>
      </c>
      <c r="J209" s="70">
        <f>SUM(J211:J220)</f>
        <v>120080529</v>
      </c>
      <c r="K209" s="70">
        <f>5714/3</f>
        <v>1904.6666666666667</v>
      </c>
    </row>
    <row r="210" spans="1:24" x14ac:dyDescent="0.2">
      <c r="A210" s="43" t="s">
        <v>28</v>
      </c>
      <c r="B210" s="64"/>
      <c r="C210" s="64"/>
      <c r="D210" s="64"/>
      <c r="E210" s="64"/>
      <c r="F210" s="64"/>
      <c r="G210" s="64" t="s">
        <v>28</v>
      </c>
      <c r="H210" s="64"/>
      <c r="I210" s="64"/>
      <c r="J210" s="64"/>
      <c r="K210" s="64"/>
    </row>
    <row r="211" spans="1:24" x14ac:dyDescent="0.2">
      <c r="A211" s="43" t="s">
        <v>15</v>
      </c>
      <c r="B211" s="64">
        <v>743</v>
      </c>
      <c r="C211" s="64">
        <v>0</v>
      </c>
      <c r="D211" s="64">
        <v>4600045</v>
      </c>
      <c r="E211" s="64">
        <f>11031/3</f>
        <v>3677</v>
      </c>
      <c r="F211" s="64"/>
      <c r="G211" s="64" t="s">
        <v>15</v>
      </c>
      <c r="H211" s="64">
        <v>199</v>
      </c>
      <c r="I211" s="64">
        <v>0</v>
      </c>
      <c r="J211" s="64">
        <v>518388</v>
      </c>
      <c r="K211" s="64">
        <f>16033/3</f>
        <v>5344.333333333333</v>
      </c>
    </row>
    <row r="212" spans="1:24" x14ac:dyDescent="0.2">
      <c r="A212" s="43" t="s">
        <v>16</v>
      </c>
      <c r="B212" s="64">
        <v>4551</v>
      </c>
      <c r="C212" s="64">
        <v>8066</v>
      </c>
      <c r="D212" s="64">
        <v>79240781</v>
      </c>
      <c r="E212" s="64">
        <f>9836/3</f>
        <v>3278.6666666666665</v>
      </c>
      <c r="F212" s="64"/>
      <c r="G212" s="64" t="s">
        <v>16</v>
      </c>
      <c r="H212" s="64">
        <v>463</v>
      </c>
      <c r="I212" s="64">
        <v>877</v>
      </c>
      <c r="J212" s="64">
        <v>5913842</v>
      </c>
      <c r="K212" s="64">
        <f>6769/3</f>
        <v>2256.3333333333335</v>
      </c>
    </row>
    <row r="213" spans="1:24" x14ac:dyDescent="0.2">
      <c r="A213" s="43" t="s">
        <v>17</v>
      </c>
      <c r="B213" s="64">
        <v>1645</v>
      </c>
      <c r="C213" s="64">
        <v>11025</v>
      </c>
      <c r="D213" s="64">
        <v>82761987</v>
      </c>
      <c r="E213" s="64">
        <f>7537/3</f>
        <v>2512.3333333333335</v>
      </c>
      <c r="F213" s="64"/>
      <c r="G213" s="64" t="s">
        <v>17</v>
      </c>
      <c r="H213" s="64">
        <v>153</v>
      </c>
      <c r="I213" s="64">
        <v>1036</v>
      </c>
      <c r="J213" s="64">
        <v>5704806</v>
      </c>
      <c r="K213" s="64">
        <f>5375/3</f>
        <v>1791.6666666666667</v>
      </c>
    </row>
    <row r="214" spans="1:24" x14ac:dyDescent="0.2">
      <c r="A214" s="44" t="s">
        <v>57</v>
      </c>
      <c r="B214" s="64">
        <v>1170</v>
      </c>
      <c r="C214" s="64">
        <v>15698</v>
      </c>
      <c r="D214" s="64">
        <v>114980081</v>
      </c>
      <c r="E214" s="64">
        <f>7418/3</f>
        <v>2472.6666666666665</v>
      </c>
      <c r="F214" s="64"/>
      <c r="G214" s="66" t="s">
        <v>57</v>
      </c>
      <c r="H214" s="64">
        <v>129</v>
      </c>
      <c r="I214" s="64">
        <v>1718</v>
      </c>
      <c r="J214" s="64">
        <v>7136479</v>
      </c>
      <c r="K214" s="64">
        <f>4447/3</f>
        <v>1482.3333333333333</v>
      </c>
    </row>
    <row r="215" spans="1:24" x14ac:dyDescent="0.2">
      <c r="A215" s="43" t="s">
        <v>18</v>
      </c>
      <c r="B215" s="64">
        <v>705</v>
      </c>
      <c r="C215" s="64">
        <v>21080</v>
      </c>
      <c r="D215" s="64">
        <v>174853883</v>
      </c>
      <c r="E215" s="64">
        <f>8375/3</f>
        <v>2791.6666666666665</v>
      </c>
      <c r="F215" s="64"/>
      <c r="G215" s="64" t="s">
        <v>18</v>
      </c>
      <c r="H215" s="64">
        <v>115</v>
      </c>
      <c r="I215" s="64">
        <v>3629</v>
      </c>
      <c r="J215" s="64">
        <v>16354020</v>
      </c>
      <c r="K215" s="64">
        <f>4598/3</f>
        <v>1532.6666666666667</v>
      </c>
    </row>
    <row r="216" spans="1:24" x14ac:dyDescent="0.2">
      <c r="A216" s="43" t="s">
        <v>19</v>
      </c>
      <c r="B216" s="64">
        <v>267</v>
      </c>
      <c r="C216" s="64">
        <v>18244</v>
      </c>
      <c r="D216" s="64">
        <v>145243579</v>
      </c>
      <c r="E216" s="64">
        <f>8056/3</f>
        <v>2685.3333333333335</v>
      </c>
      <c r="F216" s="64"/>
      <c r="G216" s="64" t="s">
        <v>19</v>
      </c>
      <c r="H216" s="64">
        <v>39</v>
      </c>
      <c r="I216" s="64">
        <v>2623</v>
      </c>
      <c r="J216" s="64">
        <v>10294100</v>
      </c>
      <c r="K216" s="64">
        <f>3880/3</f>
        <v>1293.3333333333333</v>
      </c>
    </row>
    <row r="217" spans="1:24" x14ac:dyDescent="0.2">
      <c r="A217" s="43" t="s">
        <v>20</v>
      </c>
      <c r="B217" s="64">
        <v>143</v>
      </c>
      <c r="C217" s="64">
        <v>21151</v>
      </c>
      <c r="D217" s="64">
        <v>192472600</v>
      </c>
      <c r="E217" s="64">
        <f>9206/3</f>
        <v>3068.6666666666665</v>
      </c>
      <c r="F217" s="64"/>
      <c r="G217" s="64" t="s">
        <v>20</v>
      </c>
      <c r="H217" s="64">
        <v>24</v>
      </c>
      <c r="I217" s="64">
        <v>3555</v>
      </c>
      <c r="J217" s="64">
        <v>18695952</v>
      </c>
      <c r="K217" s="64">
        <f>5419/3</f>
        <v>1806.3333333333333</v>
      </c>
    </row>
    <row r="218" spans="1:24" x14ac:dyDescent="0.2">
      <c r="A218" s="43" t="s">
        <v>21</v>
      </c>
      <c r="B218" s="64">
        <v>23</v>
      </c>
      <c r="C218" s="64">
        <v>7842</v>
      </c>
      <c r="D218" s="64">
        <v>82111013</v>
      </c>
      <c r="E218" s="64">
        <f>10437/3</f>
        <v>3479</v>
      </c>
      <c r="F218" s="64"/>
      <c r="G218" s="64" t="s">
        <v>21</v>
      </c>
      <c r="H218" s="64">
        <v>5</v>
      </c>
      <c r="I218" s="64">
        <v>1778</v>
      </c>
      <c r="J218" s="64">
        <v>23863981</v>
      </c>
      <c r="K218" s="64">
        <f>12906/3</f>
        <v>4302</v>
      </c>
      <c r="X218" t="s">
        <v>28</v>
      </c>
    </row>
    <row r="219" spans="1:24" x14ac:dyDescent="0.2">
      <c r="A219" s="43" t="s">
        <v>23</v>
      </c>
      <c r="B219" s="64">
        <v>17</v>
      </c>
      <c r="C219" s="64">
        <v>11909</v>
      </c>
      <c r="D219" s="64">
        <v>112830902</v>
      </c>
      <c r="E219" s="64">
        <f>9489/3</f>
        <v>3163</v>
      </c>
      <c r="F219" s="64"/>
      <c r="G219" s="64" t="s">
        <v>31</v>
      </c>
      <c r="H219" s="64">
        <v>6</v>
      </c>
      <c r="I219" s="64">
        <v>6109</v>
      </c>
      <c r="J219" s="64">
        <v>31598961</v>
      </c>
      <c r="K219" s="56">
        <v>1775</v>
      </c>
    </row>
    <row r="220" spans="1:24" x14ac:dyDescent="0.2">
      <c r="A220" s="43" t="s">
        <v>24</v>
      </c>
      <c r="B220" s="64">
        <v>9</v>
      </c>
      <c r="C220" s="64">
        <v>22950</v>
      </c>
      <c r="D220" s="64">
        <v>279119295</v>
      </c>
      <c r="E220" s="64">
        <f>12178/3</f>
        <v>4059.3333333333335</v>
      </c>
      <c r="F220" s="64"/>
      <c r="G220" s="64" t="s">
        <v>28</v>
      </c>
      <c r="H220" s="64" t="s">
        <v>28</v>
      </c>
      <c r="I220" s="64"/>
      <c r="J220" s="64" t="s">
        <v>28</v>
      </c>
      <c r="K220" s="64" t="s">
        <v>28</v>
      </c>
    </row>
    <row r="222" spans="1:24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24" x14ac:dyDescent="0.2">
      <c r="A223" s="74" t="s">
        <v>45</v>
      </c>
      <c r="B223" s="74"/>
      <c r="C223" s="74"/>
      <c r="D223" s="74"/>
      <c r="E223" s="74"/>
      <c r="F223" s="10"/>
      <c r="G223" s="74" t="s">
        <v>46</v>
      </c>
      <c r="H223" s="74"/>
      <c r="I223" s="74"/>
      <c r="J223" s="74"/>
      <c r="K223" s="74"/>
    </row>
    <row r="225" spans="1:29" x14ac:dyDescent="0.2">
      <c r="A225" s="9"/>
      <c r="B225" s="9"/>
      <c r="C225" s="9"/>
      <c r="D225" s="9" t="s">
        <v>2</v>
      </c>
      <c r="E225" s="9" t="s">
        <v>3</v>
      </c>
      <c r="G225" s="9"/>
      <c r="H225" s="9"/>
      <c r="I225" s="9"/>
      <c r="J225" s="9" t="s">
        <v>2</v>
      </c>
      <c r="K225" s="9" t="s">
        <v>3</v>
      </c>
    </row>
    <row r="226" spans="1:29" x14ac:dyDescent="0.2">
      <c r="A226" s="3" t="s">
        <v>4</v>
      </c>
      <c r="B226" s="9" t="s">
        <v>5</v>
      </c>
      <c r="C226" s="9" t="s">
        <v>6</v>
      </c>
      <c r="D226" s="9" t="s">
        <v>7</v>
      </c>
      <c r="E226" s="9" t="s">
        <v>8</v>
      </c>
      <c r="G226" s="3" t="s">
        <v>4</v>
      </c>
      <c r="H226" s="9" t="s">
        <v>5</v>
      </c>
      <c r="I226" s="9" t="s">
        <v>6</v>
      </c>
      <c r="J226" s="9" t="s">
        <v>7</v>
      </c>
      <c r="K226" s="9" t="s">
        <v>8</v>
      </c>
    </row>
    <row r="227" spans="1:29" x14ac:dyDescent="0.2">
      <c r="A227" s="3" t="s">
        <v>9</v>
      </c>
      <c r="B227" s="9" t="s">
        <v>10</v>
      </c>
      <c r="C227" s="9" t="s">
        <v>11</v>
      </c>
      <c r="D227" s="9" t="s">
        <v>12</v>
      </c>
      <c r="E227" s="9" t="s">
        <v>13</v>
      </c>
      <c r="G227" s="3" t="s">
        <v>9</v>
      </c>
      <c r="H227" s="9" t="s">
        <v>10</v>
      </c>
      <c r="I227" s="9" t="s">
        <v>11</v>
      </c>
      <c r="J227" s="9" t="s">
        <v>12</v>
      </c>
      <c r="K227" s="9" t="s">
        <v>13</v>
      </c>
    </row>
    <row r="230" spans="1:29" x14ac:dyDescent="0.2">
      <c r="A230" s="48" t="s">
        <v>27</v>
      </c>
      <c r="B230" s="69">
        <f>SUM(B232:B240)</f>
        <v>5421</v>
      </c>
      <c r="C230" s="69">
        <f>SUM(C232:C240)</f>
        <v>111210</v>
      </c>
      <c r="D230" s="69">
        <f>SUM(D232:D240)</f>
        <v>449724844</v>
      </c>
      <c r="E230" s="70">
        <f>4116/3</f>
        <v>1372</v>
      </c>
      <c r="F230" s="69"/>
      <c r="G230" s="69" t="s">
        <v>27</v>
      </c>
      <c r="H230" s="69">
        <f>SUM(H232:H240)</f>
        <v>5145</v>
      </c>
      <c r="I230" s="69">
        <v>38509</v>
      </c>
      <c r="J230" s="70">
        <v>308978138</v>
      </c>
      <c r="K230" s="70">
        <v>2696</v>
      </c>
      <c r="AA230" s="5"/>
    </row>
    <row r="231" spans="1:29" x14ac:dyDescent="0.2">
      <c r="A231" s="46" t="s">
        <v>28</v>
      </c>
      <c r="B231" s="64"/>
      <c r="C231" s="64"/>
      <c r="D231" s="64"/>
      <c r="E231" s="64"/>
      <c r="F231" s="64"/>
      <c r="G231" s="64" t="s">
        <v>28</v>
      </c>
      <c r="H231" s="64"/>
      <c r="I231" s="64"/>
      <c r="J231" s="64"/>
      <c r="K231" s="56"/>
    </row>
    <row r="232" spans="1:29" x14ac:dyDescent="0.2">
      <c r="A232" s="46" t="s">
        <v>15</v>
      </c>
      <c r="B232" s="64">
        <v>355</v>
      </c>
      <c r="C232" s="64">
        <v>0</v>
      </c>
      <c r="D232" s="64">
        <v>1139633</v>
      </c>
      <c r="E232" s="64">
        <f>3876/3</f>
        <v>1292</v>
      </c>
      <c r="F232" s="64"/>
      <c r="G232" s="64" t="s">
        <v>15</v>
      </c>
      <c r="H232" s="64">
        <v>493</v>
      </c>
      <c r="I232" s="64">
        <v>0</v>
      </c>
      <c r="J232" s="64">
        <v>1560815</v>
      </c>
      <c r="K232" s="56">
        <v>3363.8254310344828</v>
      </c>
      <c r="O232" s="8"/>
      <c r="P232" s="8"/>
      <c r="Y232" s="4"/>
      <c r="Z232" s="4"/>
      <c r="AA232" s="4"/>
      <c r="AB232" s="4"/>
      <c r="AC232" s="4"/>
    </row>
    <row r="233" spans="1:29" x14ac:dyDescent="0.2">
      <c r="A233" s="46" t="s">
        <v>16</v>
      </c>
      <c r="B233" s="64">
        <v>844</v>
      </c>
      <c r="C233" s="64">
        <v>2100</v>
      </c>
      <c r="D233" s="64">
        <v>8449570</v>
      </c>
      <c r="E233" s="64">
        <f>4147/3</f>
        <v>1382.3333333333333</v>
      </c>
      <c r="F233" s="64"/>
      <c r="G233" s="64" t="s">
        <v>16</v>
      </c>
      <c r="H233" s="64">
        <v>2688</v>
      </c>
      <c r="I233" s="64">
        <v>5437</v>
      </c>
      <c r="J233" s="64">
        <v>39948219</v>
      </c>
      <c r="K233" s="56">
        <v>2479.8695760134087</v>
      </c>
      <c r="O233" s="8"/>
      <c r="P233" s="8"/>
      <c r="Y233" s="4"/>
      <c r="Z233" s="4"/>
      <c r="AA233" s="4"/>
      <c r="AB233" s="4"/>
      <c r="AC233" s="4"/>
    </row>
    <row r="234" spans="1:29" x14ac:dyDescent="0.2">
      <c r="A234" s="46" t="s">
        <v>17</v>
      </c>
      <c r="B234" s="64">
        <v>892</v>
      </c>
      <c r="C234" s="64">
        <v>6174</v>
      </c>
      <c r="D234" s="64">
        <v>19609282</v>
      </c>
      <c r="E234" s="64">
        <f>3295/3</f>
        <v>1098.3333333333333</v>
      </c>
      <c r="F234" s="64"/>
      <c r="G234" s="64" t="s">
        <v>17</v>
      </c>
      <c r="H234" s="64">
        <v>1090</v>
      </c>
      <c r="I234" s="64">
        <v>7342</v>
      </c>
      <c r="J234" s="64">
        <v>49893774</v>
      </c>
      <c r="K234" s="56">
        <v>2313.9678137464057</v>
      </c>
      <c r="O234" s="8"/>
      <c r="P234" s="8"/>
      <c r="Y234" s="4"/>
      <c r="Z234" s="4"/>
      <c r="AA234" s="4"/>
      <c r="AB234" s="4"/>
      <c r="AC234" s="4"/>
    </row>
    <row r="235" spans="1:29" x14ac:dyDescent="0.2">
      <c r="A235" s="47" t="s">
        <v>57</v>
      </c>
      <c r="B235" s="64">
        <v>1343</v>
      </c>
      <c r="C235" s="64">
        <v>19164</v>
      </c>
      <c r="D235" s="64">
        <v>62887370</v>
      </c>
      <c r="E235" s="64">
        <f>3352/3</f>
        <v>1117.3333333333333</v>
      </c>
      <c r="F235" s="64"/>
      <c r="G235" s="66" t="s">
        <v>57</v>
      </c>
      <c r="H235" s="64">
        <v>579</v>
      </c>
      <c r="I235" s="64">
        <v>7617</v>
      </c>
      <c r="J235" s="64">
        <v>52494734</v>
      </c>
      <c r="K235" s="56">
        <v>2336.3182162089993</v>
      </c>
      <c r="O235" s="8"/>
      <c r="P235" s="8"/>
      <c r="Y235" s="4"/>
      <c r="Z235" s="4"/>
      <c r="AA235" s="4"/>
      <c r="AB235" s="4"/>
      <c r="AC235" s="4"/>
    </row>
    <row r="236" spans="1:29" x14ac:dyDescent="0.2">
      <c r="A236" s="46" t="s">
        <v>18</v>
      </c>
      <c r="B236" s="64">
        <v>1576</v>
      </c>
      <c r="C236" s="64">
        <v>46771</v>
      </c>
      <c r="D236" s="64">
        <v>166928102</v>
      </c>
      <c r="E236" s="64">
        <f>3654/3</f>
        <v>1218</v>
      </c>
      <c r="F236" s="64"/>
      <c r="G236" s="64" t="s">
        <v>18</v>
      </c>
      <c r="H236" s="64">
        <v>212</v>
      </c>
      <c r="I236" s="64">
        <v>6255</v>
      </c>
      <c r="J236" s="64">
        <v>48077919</v>
      </c>
      <c r="K236" s="56">
        <v>2588.5919883702149</v>
      </c>
      <c r="O236" s="8"/>
      <c r="P236" s="8"/>
      <c r="Y236" s="4"/>
      <c r="Z236" s="4"/>
      <c r="AA236" s="4"/>
      <c r="AB236" s="4"/>
      <c r="AC236" s="4"/>
    </row>
    <row r="237" spans="1:29" x14ac:dyDescent="0.2">
      <c r="A237" s="46" t="s">
        <v>19</v>
      </c>
      <c r="B237" s="64">
        <v>341</v>
      </c>
      <c r="C237" s="64">
        <v>21919</v>
      </c>
      <c r="D237" s="64">
        <v>96147136</v>
      </c>
      <c r="E237" s="64">
        <f>4466/3</f>
        <v>1488.6666666666667</v>
      </c>
      <c r="F237" s="64"/>
      <c r="G237" s="64" t="s">
        <v>19</v>
      </c>
      <c r="H237" s="64">
        <v>53</v>
      </c>
      <c r="I237" s="64">
        <v>3606</v>
      </c>
      <c r="J237" s="64">
        <v>30185098</v>
      </c>
      <c r="K237" s="56">
        <v>2790.7819896449705</v>
      </c>
      <c r="O237" s="8"/>
      <c r="P237" s="8"/>
      <c r="Y237" s="4"/>
      <c r="Z237" s="4"/>
      <c r="AA237" s="4"/>
      <c r="AB237" s="4"/>
      <c r="AC237" s="4"/>
    </row>
    <row r="238" spans="1:29" x14ac:dyDescent="0.2">
      <c r="A238" s="46" t="s">
        <v>20</v>
      </c>
      <c r="B238" s="64">
        <v>58</v>
      </c>
      <c r="C238" s="64">
        <v>7984</v>
      </c>
      <c r="D238" s="64">
        <v>42631758</v>
      </c>
      <c r="E238" s="64">
        <f>5460/3</f>
        <v>1820</v>
      </c>
      <c r="F238" s="64"/>
      <c r="G238" s="64" t="s">
        <v>20</v>
      </c>
      <c r="H238" s="64">
        <v>19</v>
      </c>
      <c r="I238" s="64">
        <v>2783</v>
      </c>
      <c r="J238" s="64">
        <v>27486727</v>
      </c>
      <c r="K238" s="56">
        <v>3304.4874969944699</v>
      </c>
      <c r="O238" s="8"/>
      <c r="P238" s="8"/>
      <c r="Y238" s="4"/>
      <c r="Z238" s="4"/>
      <c r="AA238" s="4"/>
      <c r="AB238" s="4"/>
      <c r="AC238" s="4"/>
    </row>
    <row r="239" spans="1:29" x14ac:dyDescent="0.2">
      <c r="A239" s="46" t="s">
        <v>21</v>
      </c>
      <c r="B239" s="64">
        <v>7</v>
      </c>
      <c r="C239" s="64">
        <v>2439</v>
      </c>
      <c r="D239" s="64">
        <v>18644525</v>
      </c>
      <c r="E239" s="64">
        <f>7658/3</f>
        <v>2552.6666666666665</v>
      </c>
      <c r="F239" s="64"/>
      <c r="G239" s="64" t="s">
        <v>21</v>
      </c>
      <c r="H239" s="64">
        <v>6</v>
      </c>
      <c r="I239" s="64">
        <v>2146</v>
      </c>
      <c r="J239" s="64">
        <v>14836250</v>
      </c>
      <c r="K239" s="56">
        <v>2305.5555555555557</v>
      </c>
      <c r="O239" s="8"/>
      <c r="P239" s="8"/>
      <c r="Y239" s="4"/>
      <c r="Z239" s="4"/>
      <c r="AA239" s="4"/>
      <c r="AB239" s="4"/>
      <c r="AC239" s="4"/>
    </row>
    <row r="240" spans="1:29" x14ac:dyDescent="0.2">
      <c r="A240" s="46" t="s">
        <v>31</v>
      </c>
      <c r="B240" s="64">
        <v>5</v>
      </c>
      <c r="C240" s="64">
        <v>4659</v>
      </c>
      <c r="D240" s="64">
        <v>33287468</v>
      </c>
      <c r="E240" s="61">
        <v>2329</v>
      </c>
      <c r="F240" s="64"/>
      <c r="G240" s="64" t="s">
        <v>55</v>
      </c>
      <c r="H240" s="64">
        <v>5</v>
      </c>
      <c r="I240" s="64">
        <v>3323</v>
      </c>
      <c r="J240" s="64">
        <v>44494602</v>
      </c>
      <c r="K240" s="56">
        <v>4512.6371196754562</v>
      </c>
      <c r="O240" s="8"/>
      <c r="P240" s="8"/>
      <c r="Y240" s="4"/>
      <c r="Z240" s="4"/>
      <c r="AA240" s="4"/>
      <c r="AB240" s="4"/>
      <c r="AC240" s="4"/>
    </row>
    <row r="241" spans="1:29" x14ac:dyDescent="0.2">
      <c r="O241" s="8"/>
      <c r="P241" s="8"/>
      <c r="Y241" s="4"/>
      <c r="Z241" s="4"/>
      <c r="AA241" s="4"/>
      <c r="AB241" s="4"/>
      <c r="AC241" s="4"/>
    </row>
    <row r="242" spans="1:29" x14ac:dyDescent="0.2">
      <c r="Y242" s="4"/>
      <c r="Z242" s="4"/>
      <c r="AA242" s="4"/>
      <c r="AB242" s="4"/>
      <c r="AC242" s="4"/>
    </row>
    <row r="243" spans="1:29" x14ac:dyDescent="0.2">
      <c r="A243" s="75" t="s">
        <v>63</v>
      </c>
      <c r="B243" s="76"/>
      <c r="C243" s="76"/>
      <c r="D243" s="76"/>
      <c r="E243" s="76"/>
      <c r="F243" s="76"/>
      <c r="G243" s="76"/>
      <c r="H243" s="76"/>
      <c r="I243" s="76"/>
    </row>
    <row r="244" spans="1:29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  <row r="245" spans="1:29" ht="14.25" x14ac:dyDescent="0.2">
      <c r="A245" s="72" t="s">
        <v>64</v>
      </c>
      <c r="B245" s="73"/>
      <c r="C245" s="73"/>
      <c r="D245" s="73"/>
      <c r="E245" s="73"/>
      <c r="F245" s="73"/>
      <c r="G245" s="73"/>
      <c r="H245" s="73"/>
      <c r="I245" s="73"/>
      <c r="J245" s="73"/>
      <c r="K245" s="73"/>
    </row>
    <row r="246" spans="1:29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</row>
    <row r="247" spans="1:29" x14ac:dyDescent="0.2">
      <c r="A247" s="11"/>
      <c r="B247" s="11"/>
      <c r="C247" s="11"/>
      <c r="D247" s="77"/>
      <c r="E247" s="78"/>
      <c r="F247" s="78"/>
      <c r="G247" s="78"/>
      <c r="H247" s="78"/>
      <c r="I247" s="11"/>
      <c r="J247" s="11"/>
      <c r="K247" s="11"/>
    </row>
    <row r="248" spans="1:29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</row>
    <row r="249" spans="1:29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29" x14ac:dyDescent="0.2">
      <c r="A250" s="74" t="s">
        <v>54</v>
      </c>
      <c r="B250" s="74"/>
      <c r="C250" s="74"/>
      <c r="D250" s="74"/>
      <c r="E250" s="74"/>
      <c r="F250" s="10"/>
      <c r="G250" s="74" t="s">
        <v>47</v>
      </c>
      <c r="H250" s="74"/>
      <c r="I250" s="74"/>
      <c r="J250" s="74"/>
      <c r="K250" s="74"/>
    </row>
    <row r="252" spans="1:29" x14ac:dyDescent="0.2">
      <c r="B252" s="9"/>
      <c r="C252" s="9"/>
      <c r="D252" s="9" t="s">
        <v>2</v>
      </c>
      <c r="E252" s="9" t="s">
        <v>3</v>
      </c>
      <c r="H252" s="9"/>
      <c r="I252" s="9"/>
      <c r="J252" s="9" t="s">
        <v>2</v>
      </c>
      <c r="K252" s="9" t="s">
        <v>3</v>
      </c>
    </row>
    <row r="253" spans="1:29" x14ac:dyDescent="0.2">
      <c r="A253" s="3" t="s">
        <v>4</v>
      </c>
      <c r="B253" s="9" t="s">
        <v>5</v>
      </c>
      <c r="C253" s="9" t="s">
        <v>6</v>
      </c>
      <c r="D253" s="9" t="s">
        <v>7</v>
      </c>
      <c r="E253" s="9" t="s">
        <v>8</v>
      </c>
      <c r="G253" s="3" t="s">
        <v>4</v>
      </c>
      <c r="H253" s="9" t="s">
        <v>5</v>
      </c>
      <c r="I253" s="9" t="s">
        <v>6</v>
      </c>
      <c r="J253" s="9" t="s">
        <v>7</v>
      </c>
      <c r="K253" s="9" t="s">
        <v>8</v>
      </c>
    </row>
    <row r="254" spans="1:29" x14ac:dyDescent="0.2">
      <c r="A254" s="3" t="s">
        <v>9</v>
      </c>
      <c r="B254" s="9" t="s">
        <v>10</v>
      </c>
      <c r="C254" s="9" t="s">
        <v>11</v>
      </c>
      <c r="D254" s="9" t="s">
        <v>12</v>
      </c>
      <c r="E254" s="9" t="s">
        <v>13</v>
      </c>
      <c r="G254" s="3" t="s">
        <v>9</v>
      </c>
      <c r="H254" s="9" t="s">
        <v>10</v>
      </c>
      <c r="I254" s="9" t="s">
        <v>11</v>
      </c>
      <c r="J254" s="9" t="s">
        <v>12</v>
      </c>
      <c r="K254" s="9" t="s">
        <v>13</v>
      </c>
    </row>
    <row r="257" spans="1:11" x14ac:dyDescent="0.2">
      <c r="A257" s="51" t="s">
        <v>27</v>
      </c>
      <c r="B257" s="69">
        <f>SUM(B259:B268)</f>
        <v>3745</v>
      </c>
      <c r="C257" s="69">
        <f>SUM(C259:C268)</f>
        <v>235457</v>
      </c>
      <c r="D257" s="70">
        <f>SUM(D259:D268)</f>
        <v>2358648615</v>
      </c>
      <c r="E257" s="52">
        <f>10092/3</f>
        <v>3364</v>
      </c>
      <c r="F257" s="69"/>
      <c r="G257" s="69" t="s">
        <v>27</v>
      </c>
      <c r="H257" s="69">
        <f>SUM(H259:H268)</f>
        <v>545</v>
      </c>
      <c r="I257" s="69">
        <f>SUM(I259:I268)</f>
        <v>34682</v>
      </c>
      <c r="J257" s="70">
        <f>SUM(J259:J268)</f>
        <v>569163051</v>
      </c>
      <c r="K257" s="70">
        <f>16572/3</f>
        <v>5524</v>
      </c>
    </row>
    <row r="258" spans="1:11" x14ac:dyDescent="0.2">
      <c r="A258" s="49" t="s">
        <v>28</v>
      </c>
      <c r="B258" s="64"/>
      <c r="C258" s="64"/>
      <c r="D258" s="64"/>
      <c r="E258" s="64"/>
      <c r="F258" s="64"/>
      <c r="G258" s="64" t="s">
        <v>28</v>
      </c>
      <c r="H258" s="64"/>
      <c r="I258" s="64"/>
      <c r="J258" s="64"/>
      <c r="K258" s="64"/>
    </row>
    <row r="259" spans="1:11" x14ac:dyDescent="0.2">
      <c r="A259" s="49" t="s">
        <v>15</v>
      </c>
      <c r="B259" s="64">
        <v>63</v>
      </c>
      <c r="C259" s="64">
        <v>0</v>
      </c>
      <c r="D259" s="64">
        <v>167972</v>
      </c>
      <c r="E259" s="64">
        <f>13997/3</f>
        <v>4665.666666666667</v>
      </c>
      <c r="F259" s="64"/>
      <c r="G259" s="64" t="s">
        <v>15</v>
      </c>
      <c r="H259" s="64">
        <v>20</v>
      </c>
      <c r="I259" s="64">
        <v>0</v>
      </c>
      <c r="J259" s="64">
        <v>120098</v>
      </c>
      <c r="K259" s="64">
        <f>24020/3</f>
        <v>8006.666666666667</v>
      </c>
    </row>
    <row r="260" spans="1:11" x14ac:dyDescent="0.2">
      <c r="A260" s="49" t="s">
        <v>16</v>
      </c>
      <c r="B260" s="64">
        <v>774</v>
      </c>
      <c r="C260" s="64">
        <v>1768</v>
      </c>
      <c r="D260" s="64">
        <v>18329638</v>
      </c>
      <c r="E260" s="64">
        <f>10253/3</f>
        <v>3417.6666666666665</v>
      </c>
      <c r="F260" s="64"/>
      <c r="G260" s="64" t="s">
        <v>16</v>
      </c>
      <c r="H260" s="64">
        <v>237</v>
      </c>
      <c r="I260" s="64">
        <v>471</v>
      </c>
      <c r="J260" s="64">
        <v>6179262</v>
      </c>
      <c r="K260" s="64">
        <f>13175/3</f>
        <v>4391.666666666667</v>
      </c>
    </row>
    <row r="261" spans="1:11" x14ac:dyDescent="0.2">
      <c r="A261" s="49" t="s">
        <v>17</v>
      </c>
      <c r="B261" s="64">
        <v>639</v>
      </c>
      <c r="C261" s="64">
        <v>4290</v>
      </c>
      <c r="D261" s="64">
        <v>36609062</v>
      </c>
      <c r="E261" s="64">
        <f>8638/3</f>
        <v>2879.3333333333335</v>
      </c>
      <c r="F261" s="64"/>
      <c r="G261" s="64" t="s">
        <v>17</v>
      </c>
      <c r="H261" s="64">
        <v>77</v>
      </c>
      <c r="I261" s="64">
        <v>535</v>
      </c>
      <c r="J261" s="64">
        <v>7336722</v>
      </c>
      <c r="K261" s="64">
        <f>14173/3</f>
        <v>4724.333333333333</v>
      </c>
    </row>
    <row r="262" spans="1:11" x14ac:dyDescent="0.2">
      <c r="A262" s="50" t="s">
        <v>57</v>
      </c>
      <c r="B262" s="64">
        <v>510</v>
      </c>
      <c r="C262" s="64">
        <v>7161</v>
      </c>
      <c r="D262" s="64">
        <v>69765710</v>
      </c>
      <c r="E262" s="64">
        <f>9863/3</f>
        <v>3287.6666666666665</v>
      </c>
      <c r="F262" s="64"/>
      <c r="G262" s="66" t="s">
        <v>57</v>
      </c>
      <c r="H262" s="64">
        <v>75</v>
      </c>
      <c r="I262" s="64">
        <v>1039</v>
      </c>
      <c r="J262" s="64">
        <v>16816576</v>
      </c>
      <c r="K262" s="64">
        <f>16454/3</f>
        <v>5484.666666666667</v>
      </c>
    </row>
    <row r="263" spans="1:11" x14ac:dyDescent="0.2">
      <c r="A263" s="49" t="s">
        <v>18</v>
      </c>
      <c r="B263" s="64">
        <v>700</v>
      </c>
      <c r="C263" s="64">
        <v>22952</v>
      </c>
      <c r="D263" s="64">
        <v>213946323</v>
      </c>
      <c r="E263" s="64">
        <f>9336/3</f>
        <v>3112</v>
      </c>
      <c r="F263" s="64"/>
      <c r="G263" s="64" t="s">
        <v>18</v>
      </c>
      <c r="H263" s="64">
        <v>61</v>
      </c>
      <c r="I263" s="64">
        <v>1983</v>
      </c>
      <c r="J263" s="64">
        <v>31459702</v>
      </c>
      <c r="K263" s="64">
        <f>15899/3</f>
        <v>5299.666666666667</v>
      </c>
    </row>
    <row r="264" spans="1:11" x14ac:dyDescent="0.2">
      <c r="A264" s="49" t="s">
        <v>19</v>
      </c>
      <c r="B264" s="64">
        <v>710</v>
      </c>
      <c r="C264" s="64">
        <v>49123</v>
      </c>
      <c r="D264" s="64">
        <v>425066378</v>
      </c>
      <c r="E264" s="64">
        <f>8676/3</f>
        <v>2892</v>
      </c>
      <c r="F264" s="64" t="s">
        <v>28</v>
      </c>
      <c r="G264" s="64" t="s">
        <v>19</v>
      </c>
      <c r="H264" s="64">
        <v>42</v>
      </c>
      <c r="I264" s="64">
        <v>2969</v>
      </c>
      <c r="J264" s="64">
        <v>50214189</v>
      </c>
      <c r="K264" s="64">
        <f>17039/3</f>
        <v>5679.666666666667</v>
      </c>
    </row>
    <row r="265" spans="1:11" x14ac:dyDescent="0.2">
      <c r="A265" s="49" t="s">
        <v>20</v>
      </c>
      <c r="B265" s="64">
        <v>242</v>
      </c>
      <c r="C265" s="64">
        <v>35735</v>
      </c>
      <c r="D265" s="64">
        <v>318977186</v>
      </c>
      <c r="E265" s="64">
        <f>8964/3</f>
        <v>2988</v>
      </c>
      <c r="F265" s="64"/>
      <c r="G265" s="64" t="s">
        <v>20</v>
      </c>
      <c r="H265" s="64">
        <v>17</v>
      </c>
      <c r="I265" s="64">
        <v>2652</v>
      </c>
      <c r="J265" s="64">
        <v>47644091</v>
      </c>
      <c r="K265" s="64">
        <f>18118/3</f>
        <v>6039.333333333333</v>
      </c>
    </row>
    <row r="266" spans="1:11" x14ac:dyDescent="0.2">
      <c r="A266" s="49" t="s">
        <v>21</v>
      </c>
      <c r="B266" s="64">
        <v>62</v>
      </c>
      <c r="C266" s="64">
        <v>21570</v>
      </c>
      <c r="D266" s="64">
        <v>226793156</v>
      </c>
      <c r="E266" s="64">
        <f>10562/3</f>
        <v>3520.6666666666665</v>
      </c>
      <c r="F266" s="64"/>
      <c r="G266" s="64" t="s">
        <v>21</v>
      </c>
      <c r="H266" s="64">
        <v>10</v>
      </c>
      <c r="I266" s="64">
        <v>3478</v>
      </c>
      <c r="J266" s="64">
        <v>67137621</v>
      </c>
      <c r="K266" s="64">
        <f>19241/3</f>
        <v>6413.666666666667</v>
      </c>
    </row>
    <row r="267" spans="1:11" x14ac:dyDescent="0.2">
      <c r="A267" s="49" t="s">
        <v>23</v>
      </c>
      <c r="B267" s="64">
        <v>26</v>
      </c>
      <c r="C267" s="64">
        <v>17470</v>
      </c>
      <c r="D267" s="64">
        <v>161631880</v>
      </c>
      <c r="E267" s="64">
        <f>9339/3</f>
        <v>3113</v>
      </c>
      <c r="F267" s="64"/>
      <c r="G267" s="64" t="s">
        <v>56</v>
      </c>
      <c r="H267" s="64">
        <v>2</v>
      </c>
      <c r="I267" s="64">
        <v>1143</v>
      </c>
      <c r="J267" s="64">
        <v>18639145</v>
      </c>
      <c r="K267" s="64">
        <f>16110/3</f>
        <v>5370</v>
      </c>
    </row>
    <row r="268" spans="1:11" x14ac:dyDescent="0.2">
      <c r="A268" s="49" t="s">
        <v>24</v>
      </c>
      <c r="B268" s="64">
        <v>19</v>
      </c>
      <c r="C268" s="64">
        <v>75388</v>
      </c>
      <c r="D268" s="64">
        <v>887361310</v>
      </c>
      <c r="E268" s="64">
        <f>11937/3</f>
        <v>3979</v>
      </c>
      <c r="F268" s="64"/>
      <c r="G268" s="64" t="s">
        <v>24</v>
      </c>
      <c r="H268" s="64">
        <v>4</v>
      </c>
      <c r="I268" s="64">
        <v>20412</v>
      </c>
      <c r="J268" s="64">
        <v>323615645</v>
      </c>
      <c r="K268" s="64">
        <f>16076/3</f>
        <v>5358.666666666667</v>
      </c>
    </row>
    <row r="271" spans="1:1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x14ac:dyDescent="0.2">
      <c r="A272" s="74" t="s">
        <v>48</v>
      </c>
      <c r="B272" s="74"/>
      <c r="C272" s="74"/>
      <c r="D272" s="74"/>
      <c r="E272" s="74"/>
      <c r="F272" s="10"/>
      <c r="G272" s="74" t="s">
        <v>49</v>
      </c>
      <c r="H272" s="74"/>
      <c r="I272" s="74"/>
      <c r="J272" s="74"/>
      <c r="K272" s="74"/>
    </row>
    <row r="274" spans="1:11" x14ac:dyDescent="0.2">
      <c r="B274" s="9"/>
      <c r="C274" s="9"/>
      <c r="D274" s="9" t="s">
        <v>2</v>
      </c>
      <c r="E274" s="9" t="s">
        <v>3</v>
      </c>
      <c r="H274" s="9"/>
      <c r="I274" s="9"/>
      <c r="J274" s="9" t="s">
        <v>2</v>
      </c>
      <c r="K274" s="9" t="s">
        <v>3</v>
      </c>
    </row>
    <row r="275" spans="1:11" x14ac:dyDescent="0.2">
      <c r="A275" s="3" t="s">
        <v>4</v>
      </c>
      <c r="B275" s="9" t="s">
        <v>5</v>
      </c>
      <c r="C275" s="9" t="s">
        <v>6</v>
      </c>
      <c r="D275" s="9" t="s">
        <v>7</v>
      </c>
      <c r="E275" s="9" t="s">
        <v>8</v>
      </c>
      <c r="G275" s="3" t="s">
        <v>4</v>
      </c>
      <c r="H275" s="9" t="s">
        <v>5</v>
      </c>
      <c r="I275" s="9" t="s">
        <v>6</v>
      </c>
      <c r="J275" s="9" t="s">
        <v>7</v>
      </c>
      <c r="K275" s="9" t="s">
        <v>8</v>
      </c>
    </row>
    <row r="276" spans="1:11" x14ac:dyDescent="0.2">
      <c r="A276" s="3" t="s">
        <v>9</v>
      </c>
      <c r="B276" s="9" t="s">
        <v>10</v>
      </c>
      <c r="C276" s="9" t="s">
        <v>11</v>
      </c>
      <c r="D276" s="9" t="s">
        <v>12</v>
      </c>
      <c r="E276" s="9" t="s">
        <v>13</v>
      </c>
      <c r="G276" s="3" t="s">
        <v>9</v>
      </c>
      <c r="H276" s="9" t="s">
        <v>10</v>
      </c>
      <c r="I276" s="9" t="s">
        <v>11</v>
      </c>
      <c r="J276" s="9" t="s">
        <v>12</v>
      </c>
      <c r="K276" s="9" t="s">
        <v>13</v>
      </c>
    </row>
    <row r="279" spans="1:11" x14ac:dyDescent="0.2">
      <c r="A279" s="57" t="s">
        <v>27</v>
      </c>
      <c r="B279" s="67">
        <f>SUM(B281:B292)</f>
        <v>27</v>
      </c>
      <c r="C279" s="67">
        <f>SUM(C281:C292)</f>
        <v>13758</v>
      </c>
      <c r="D279" s="71">
        <f>SUM(D281:D292)</f>
        <v>224495073</v>
      </c>
      <c r="E279" s="71">
        <f>16376/3</f>
        <v>5458.666666666667</v>
      </c>
      <c r="F279" s="69"/>
      <c r="G279" s="69" t="s">
        <v>27</v>
      </c>
      <c r="H279" s="69">
        <f>SUM(H281:H290)</f>
        <v>545</v>
      </c>
      <c r="I279" s="69">
        <f>SUM(I281:I290)</f>
        <v>76912</v>
      </c>
      <c r="J279" s="70">
        <f>SUM(J281:J290)</f>
        <v>803959486</v>
      </c>
      <c r="K279" s="70">
        <f>10586/3</f>
        <v>3528.6666666666665</v>
      </c>
    </row>
    <row r="280" spans="1:11" x14ac:dyDescent="0.2">
      <c r="A280" s="53"/>
      <c r="B280" s="68"/>
      <c r="C280" s="68"/>
      <c r="D280" s="68"/>
      <c r="E280" s="68"/>
      <c r="F280" s="64"/>
      <c r="G280" s="64" t="s">
        <v>28</v>
      </c>
      <c r="H280" s="64"/>
      <c r="I280" s="64"/>
      <c r="J280" s="64"/>
      <c r="K280" s="64"/>
    </row>
    <row r="281" spans="1:11" x14ac:dyDescent="0.2">
      <c r="A281" s="54">
        <v>0</v>
      </c>
      <c r="B281" s="68">
        <v>1</v>
      </c>
      <c r="C281" s="68">
        <v>0</v>
      </c>
      <c r="D281" s="64">
        <v>13224</v>
      </c>
      <c r="E281" s="64">
        <f>9918/3</f>
        <v>3306</v>
      </c>
      <c r="F281" s="64"/>
      <c r="G281" s="65">
        <v>0</v>
      </c>
      <c r="H281" s="64">
        <v>3</v>
      </c>
      <c r="I281" s="64">
        <v>0</v>
      </c>
      <c r="J281" s="56">
        <v>0</v>
      </c>
      <c r="K281" s="56">
        <v>0</v>
      </c>
    </row>
    <row r="282" spans="1:11" x14ac:dyDescent="0.2">
      <c r="A282" s="55" t="s">
        <v>16</v>
      </c>
      <c r="B282" s="68">
        <v>7</v>
      </c>
      <c r="C282" s="68">
        <v>15</v>
      </c>
      <c r="D282" s="68">
        <v>180203</v>
      </c>
      <c r="E282" s="68">
        <f>12872/3</f>
        <v>4290.666666666667</v>
      </c>
      <c r="F282" s="64"/>
      <c r="G282" s="66" t="s">
        <v>16</v>
      </c>
      <c r="H282" s="64">
        <v>136</v>
      </c>
      <c r="I282" s="64">
        <v>325</v>
      </c>
      <c r="J282" s="64">
        <v>4741666</v>
      </c>
      <c r="K282" s="64">
        <f>14545/3</f>
        <v>4848.333333333333</v>
      </c>
    </row>
    <row r="283" spans="1:11" x14ac:dyDescent="0.2">
      <c r="A283" s="53" t="s">
        <v>17</v>
      </c>
      <c r="B283" s="68">
        <v>4</v>
      </c>
      <c r="C283" s="68">
        <v>27</v>
      </c>
      <c r="D283" s="68">
        <v>328265</v>
      </c>
      <c r="E283" s="68">
        <f>12466/3</f>
        <v>4155.333333333333</v>
      </c>
      <c r="F283" s="64"/>
      <c r="G283" s="64" t="s">
        <v>17</v>
      </c>
      <c r="H283" s="64">
        <v>91</v>
      </c>
      <c r="I283" s="64">
        <v>616</v>
      </c>
      <c r="J283" s="64">
        <v>7462791</v>
      </c>
      <c r="K283" s="64">
        <f>12174/3</f>
        <v>4058</v>
      </c>
    </row>
    <row r="284" spans="1:11" x14ac:dyDescent="0.2">
      <c r="A284" s="55" t="s">
        <v>57</v>
      </c>
      <c r="B284" s="68">
        <v>1</v>
      </c>
      <c r="C284" s="68">
        <v>11</v>
      </c>
      <c r="D284" s="68">
        <v>117015</v>
      </c>
      <c r="E284" s="68">
        <f>10325/3</f>
        <v>3441.6666666666665</v>
      </c>
      <c r="F284" s="64"/>
      <c r="G284" s="66" t="s">
        <v>57</v>
      </c>
      <c r="H284" s="64">
        <v>79</v>
      </c>
      <c r="I284" s="64">
        <v>1116</v>
      </c>
      <c r="J284" s="64">
        <v>10215021</v>
      </c>
      <c r="K284" s="64">
        <f>9225/3</f>
        <v>3075</v>
      </c>
    </row>
    <row r="285" spans="1:11" x14ac:dyDescent="0.2">
      <c r="A285" s="53" t="s">
        <v>18</v>
      </c>
      <c r="B285" s="68">
        <v>4</v>
      </c>
      <c r="C285" s="68">
        <v>134</v>
      </c>
      <c r="D285" s="68">
        <v>1829857</v>
      </c>
      <c r="E285" s="68">
        <f>13690/3</f>
        <v>4563.333333333333</v>
      </c>
      <c r="F285" s="64"/>
      <c r="G285" s="64" t="s">
        <v>18</v>
      </c>
      <c r="H285" s="64">
        <v>125</v>
      </c>
      <c r="I285" s="64">
        <v>3757</v>
      </c>
      <c r="J285" s="64">
        <v>41078850</v>
      </c>
      <c r="K285" s="64">
        <f>11050/3</f>
        <v>3683.3333333333335</v>
      </c>
    </row>
    <row r="286" spans="1:11" x14ac:dyDescent="0.2">
      <c r="A286" s="53" t="s">
        <v>19</v>
      </c>
      <c r="B286" s="68">
        <v>2</v>
      </c>
      <c r="C286" s="68">
        <v>134</v>
      </c>
      <c r="D286" s="68">
        <v>1801874</v>
      </c>
      <c r="E286" s="68">
        <f>13860/3</f>
        <v>4620</v>
      </c>
      <c r="F286" s="64"/>
      <c r="G286" s="64" t="s">
        <v>19</v>
      </c>
      <c r="H286" s="64">
        <v>42</v>
      </c>
      <c r="I286" s="64">
        <v>2906</v>
      </c>
      <c r="J286" s="64">
        <v>35087413</v>
      </c>
      <c r="K286" s="64">
        <f>12180/3</f>
        <v>4060</v>
      </c>
    </row>
    <row r="287" spans="1:11" x14ac:dyDescent="0.2">
      <c r="A287" s="53" t="s">
        <v>20</v>
      </c>
      <c r="B287" s="68">
        <v>3</v>
      </c>
      <c r="C287" s="68">
        <v>514</v>
      </c>
      <c r="D287" s="68">
        <v>7479530</v>
      </c>
      <c r="E287" s="68">
        <f>14402/3</f>
        <v>4800.666666666667</v>
      </c>
      <c r="F287" s="64"/>
      <c r="G287" s="64" t="s">
        <v>20</v>
      </c>
      <c r="H287" s="64">
        <v>24</v>
      </c>
      <c r="I287" s="64">
        <v>4062</v>
      </c>
      <c r="J287" s="64">
        <v>41221253</v>
      </c>
      <c r="K287" s="64">
        <f>10311/3</f>
        <v>3437</v>
      </c>
    </row>
    <row r="288" spans="1:11" x14ac:dyDescent="0.2">
      <c r="A288" s="53" t="s">
        <v>21</v>
      </c>
      <c r="B288" s="68">
        <v>3</v>
      </c>
      <c r="C288" s="68">
        <v>1099</v>
      </c>
      <c r="D288" s="68">
        <v>15538728</v>
      </c>
      <c r="E288" s="68">
        <f>14230/3</f>
        <v>4743.333333333333</v>
      </c>
      <c r="F288" s="64"/>
      <c r="G288" s="64" t="s">
        <v>21</v>
      </c>
      <c r="H288" s="64">
        <v>20</v>
      </c>
      <c r="I288" s="64">
        <v>7581</v>
      </c>
      <c r="J288" s="64">
        <v>78791044</v>
      </c>
      <c r="K288" s="64">
        <f>10506/3</f>
        <v>3502</v>
      </c>
    </row>
    <row r="289" spans="1:11" x14ac:dyDescent="0.2">
      <c r="A289" s="53" t="s">
        <v>23</v>
      </c>
      <c r="B289" s="68">
        <v>1</v>
      </c>
      <c r="C289" s="68">
        <v>576</v>
      </c>
      <c r="D289" s="68">
        <v>8191886</v>
      </c>
      <c r="E289" s="68">
        <f>13979/3</f>
        <v>4659.666666666667</v>
      </c>
      <c r="F289" s="64"/>
      <c r="G289" s="64" t="s">
        <v>23</v>
      </c>
      <c r="H289" s="64">
        <v>11</v>
      </c>
      <c r="I289" s="64">
        <v>7683</v>
      </c>
      <c r="J289" s="64">
        <v>65283368</v>
      </c>
      <c r="K289" s="64">
        <f>8652/3</f>
        <v>2884</v>
      </c>
    </row>
    <row r="290" spans="1:11" x14ac:dyDescent="0.2">
      <c r="A290" s="53" t="s">
        <v>24</v>
      </c>
      <c r="B290" s="68">
        <v>1</v>
      </c>
      <c r="C290" s="68">
        <v>11248</v>
      </c>
      <c r="D290" s="68">
        <v>189014491</v>
      </c>
      <c r="E290" s="68">
        <f>16885/3</f>
        <v>5628.333333333333</v>
      </c>
      <c r="F290" s="64"/>
      <c r="G290" s="64" t="s">
        <v>24</v>
      </c>
      <c r="H290" s="64">
        <v>14</v>
      </c>
      <c r="I290" s="64">
        <v>48866</v>
      </c>
      <c r="J290" s="64">
        <v>520078080</v>
      </c>
      <c r="K290" s="64">
        <f>10776/3</f>
        <v>3592</v>
      </c>
    </row>
    <row r="291" spans="1:11" x14ac:dyDescent="0.2">
      <c r="B291" s="8"/>
      <c r="C291" s="8"/>
      <c r="D291" s="8"/>
      <c r="E291" s="8"/>
    </row>
    <row r="292" spans="1:11" x14ac:dyDescent="0.2">
      <c r="B292" s="8"/>
      <c r="C292" s="8"/>
      <c r="D292" s="8"/>
      <c r="E292" s="8"/>
    </row>
    <row r="293" spans="1:11" x14ac:dyDescent="0.2">
      <c r="A293" s="75" t="s">
        <v>63</v>
      </c>
      <c r="B293" s="76"/>
      <c r="C293" s="76"/>
      <c r="D293" s="76"/>
      <c r="E293" s="76"/>
      <c r="F293" s="76"/>
      <c r="G293" s="76"/>
      <c r="H293" s="76"/>
      <c r="I293" s="76"/>
    </row>
    <row r="294" spans="1:1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</row>
    <row r="295" spans="1:11" ht="14.25" x14ac:dyDescent="0.2">
      <c r="A295" s="72" t="s">
        <v>64</v>
      </c>
      <c r="B295" s="73"/>
      <c r="C295" s="73"/>
      <c r="D295" s="73"/>
      <c r="E295" s="73"/>
      <c r="F295" s="73"/>
      <c r="G295" s="73"/>
      <c r="H295" s="73"/>
      <c r="I295" s="73"/>
      <c r="J295" s="73"/>
      <c r="K295" s="73"/>
    </row>
    <row r="296" spans="1:1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</row>
    <row r="297" spans="1:11" x14ac:dyDescent="0.2">
      <c r="A297" s="11"/>
      <c r="B297" s="11"/>
      <c r="C297" s="11"/>
      <c r="D297" s="77"/>
      <c r="E297" s="78"/>
      <c r="F297" s="78"/>
      <c r="G297" s="78"/>
      <c r="H297" s="78"/>
      <c r="I297" s="11"/>
      <c r="J297" s="11"/>
      <c r="K297" s="11"/>
    </row>
    <row r="298" spans="1:1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</row>
    <row r="299" spans="1:1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x14ac:dyDescent="0.2">
      <c r="A300" s="74" t="s">
        <v>50</v>
      </c>
      <c r="B300" s="74"/>
      <c r="C300" s="74"/>
      <c r="D300" s="74"/>
      <c r="E300" s="74"/>
      <c r="F300" s="10"/>
      <c r="G300" s="74" t="s">
        <v>51</v>
      </c>
      <c r="H300" s="74"/>
      <c r="I300" s="74"/>
      <c r="J300" s="74"/>
      <c r="K300" s="74"/>
    </row>
    <row r="302" spans="1:11" x14ac:dyDescent="0.2">
      <c r="B302" s="9"/>
      <c r="C302" s="9"/>
      <c r="D302" s="9" t="s">
        <v>2</v>
      </c>
      <c r="E302" s="9" t="s">
        <v>3</v>
      </c>
      <c r="H302" s="9"/>
      <c r="I302" s="9"/>
      <c r="J302" s="9" t="s">
        <v>2</v>
      </c>
      <c r="K302" s="9" t="s">
        <v>3</v>
      </c>
    </row>
    <row r="303" spans="1:11" x14ac:dyDescent="0.2">
      <c r="A303" s="3" t="s">
        <v>4</v>
      </c>
      <c r="B303" s="9" t="s">
        <v>5</v>
      </c>
      <c r="C303" s="9" t="s">
        <v>6</v>
      </c>
      <c r="D303" s="9" t="s">
        <v>7</v>
      </c>
      <c r="E303" s="9" t="s">
        <v>8</v>
      </c>
      <c r="G303" s="3" t="s">
        <v>4</v>
      </c>
      <c r="H303" s="9" t="s">
        <v>5</v>
      </c>
      <c r="I303" s="9" t="s">
        <v>6</v>
      </c>
      <c r="J303" s="9" t="s">
        <v>7</v>
      </c>
      <c r="K303" s="9" t="s">
        <v>8</v>
      </c>
    </row>
    <row r="304" spans="1:11" x14ac:dyDescent="0.2">
      <c r="A304" s="3" t="s">
        <v>9</v>
      </c>
      <c r="B304" s="9" t="s">
        <v>10</v>
      </c>
      <c r="C304" s="9" t="s">
        <v>11</v>
      </c>
      <c r="D304" s="9" t="s">
        <v>12</v>
      </c>
      <c r="E304" s="9" t="s">
        <v>13</v>
      </c>
      <c r="G304" s="3" t="s">
        <v>9</v>
      </c>
      <c r="H304" s="9" t="s">
        <v>10</v>
      </c>
      <c r="I304" s="9" t="s">
        <v>11</v>
      </c>
      <c r="J304" s="9" t="s">
        <v>12</v>
      </c>
      <c r="K304" s="9" t="s">
        <v>13</v>
      </c>
    </row>
    <row r="307" spans="1:11" x14ac:dyDescent="0.2">
      <c r="A307" s="63" t="s">
        <v>27</v>
      </c>
      <c r="B307" s="67">
        <f>SUM(B309:B318)</f>
        <v>57</v>
      </c>
      <c r="C307" s="67">
        <f>SUM(C309:C318)</f>
        <v>46330</v>
      </c>
      <c r="D307" s="71">
        <f>SUM(D309:D318)</f>
        <v>424420846</v>
      </c>
      <c r="E307" s="71">
        <f>9307/3</f>
        <v>3102.3333333333335</v>
      </c>
      <c r="F307" s="69"/>
      <c r="G307" s="69" t="s">
        <v>27</v>
      </c>
      <c r="H307" s="69">
        <f>SUM(H309:H319)</f>
        <v>2655</v>
      </c>
      <c r="I307" s="69">
        <f>SUM(I309:I319)</f>
        <v>123863</v>
      </c>
      <c r="J307" s="70">
        <f>SUM(J309:J318)</f>
        <v>985526078</v>
      </c>
      <c r="K307" s="70">
        <f>7985/3</f>
        <v>2661.6666666666665</v>
      </c>
    </row>
    <row r="308" spans="1:11" x14ac:dyDescent="0.2">
      <c r="A308" s="58" t="s">
        <v>28</v>
      </c>
      <c r="B308" s="68"/>
      <c r="C308" s="68"/>
      <c r="D308" s="68"/>
      <c r="E308" s="68"/>
      <c r="F308" s="64"/>
      <c r="G308" s="64" t="s">
        <v>28</v>
      </c>
      <c r="H308" s="64"/>
      <c r="I308" s="64"/>
      <c r="J308" s="64"/>
      <c r="K308" s="64"/>
    </row>
    <row r="309" spans="1:11" x14ac:dyDescent="0.2">
      <c r="A309" s="59">
        <v>0</v>
      </c>
      <c r="B309" s="68">
        <v>3</v>
      </c>
      <c r="C309" s="68">
        <v>0</v>
      </c>
      <c r="D309" s="61">
        <v>0</v>
      </c>
      <c r="E309" s="68">
        <v>0</v>
      </c>
      <c r="F309" s="64"/>
      <c r="G309" s="64" t="s">
        <v>15</v>
      </c>
      <c r="H309" s="64">
        <v>40</v>
      </c>
      <c r="I309" s="64">
        <v>0</v>
      </c>
      <c r="J309" s="64">
        <v>47874</v>
      </c>
      <c r="K309" s="64">
        <f>6839/3</f>
        <v>2279.6666666666665</v>
      </c>
    </row>
    <row r="310" spans="1:11" x14ac:dyDescent="0.2">
      <c r="A310" s="60" t="s">
        <v>16</v>
      </c>
      <c r="B310" s="68">
        <v>8</v>
      </c>
      <c r="C310" s="68">
        <v>15</v>
      </c>
      <c r="D310" s="68">
        <v>150717</v>
      </c>
      <c r="E310" s="68">
        <f>9227/3</f>
        <v>3075.6666666666665</v>
      </c>
      <c r="F310" s="64"/>
      <c r="G310" s="64" t="s">
        <v>16</v>
      </c>
      <c r="H310" s="64">
        <v>401</v>
      </c>
      <c r="I310" s="64">
        <v>972</v>
      </c>
      <c r="J310" s="64">
        <v>7408710</v>
      </c>
      <c r="K310" s="64">
        <f>7463/3</f>
        <v>2487.6666666666665</v>
      </c>
    </row>
    <row r="311" spans="1:11" x14ac:dyDescent="0.2">
      <c r="A311" s="58" t="s">
        <v>17</v>
      </c>
      <c r="B311" s="68">
        <v>2</v>
      </c>
      <c r="C311" s="68">
        <v>16</v>
      </c>
      <c r="D311" s="68">
        <v>75184</v>
      </c>
      <c r="E311" s="62">
        <f>4903/36</f>
        <v>136.19444444444446</v>
      </c>
      <c r="F311" s="64"/>
      <c r="G311" s="64" t="s">
        <v>17</v>
      </c>
      <c r="H311" s="64">
        <v>471</v>
      </c>
      <c r="I311" s="64">
        <v>3139</v>
      </c>
      <c r="J311" s="64">
        <v>21809549</v>
      </c>
      <c r="K311" s="64">
        <f>7018/3</f>
        <v>2339.3333333333335</v>
      </c>
    </row>
    <row r="312" spans="1:11" x14ac:dyDescent="0.2">
      <c r="A312" s="60" t="s">
        <v>57</v>
      </c>
      <c r="B312" s="68">
        <v>6</v>
      </c>
      <c r="C312" s="68">
        <v>73</v>
      </c>
      <c r="D312" s="68">
        <v>829497</v>
      </c>
      <c r="E312" s="68">
        <f>11683/3</f>
        <v>3894.3333333333335</v>
      </c>
      <c r="F312" s="64"/>
      <c r="G312" s="66" t="s">
        <v>57</v>
      </c>
      <c r="H312" s="64">
        <v>356</v>
      </c>
      <c r="I312" s="64">
        <v>5006</v>
      </c>
      <c r="J312" s="64">
        <v>42734113</v>
      </c>
      <c r="K312" s="64">
        <f>8644/3</f>
        <v>2881.3333333333335</v>
      </c>
    </row>
    <row r="313" spans="1:11" x14ac:dyDescent="0.2">
      <c r="A313" s="58" t="s">
        <v>18</v>
      </c>
      <c r="B313" s="68">
        <v>6</v>
      </c>
      <c r="C313" s="68">
        <v>220</v>
      </c>
      <c r="D313" s="68">
        <v>1233487</v>
      </c>
      <c r="E313" s="68">
        <f>5773/3</f>
        <v>1924.3333333333333</v>
      </c>
      <c r="F313" s="64"/>
      <c r="G313" s="64" t="s">
        <v>18</v>
      </c>
      <c r="H313" s="64">
        <v>514</v>
      </c>
      <c r="I313" s="64">
        <v>17212</v>
      </c>
      <c r="J313" s="64">
        <v>141407771</v>
      </c>
      <c r="K313" s="64">
        <f>8212/3</f>
        <v>2737.3333333333335</v>
      </c>
    </row>
    <row r="314" spans="1:11" x14ac:dyDescent="0.2">
      <c r="A314" s="58" t="s">
        <v>19</v>
      </c>
      <c r="B314" s="68">
        <v>6</v>
      </c>
      <c r="C314" s="68">
        <v>438</v>
      </c>
      <c r="D314" s="68">
        <v>2454129</v>
      </c>
      <c r="E314" s="68">
        <f>5659/3</f>
        <v>1886.3333333333333</v>
      </c>
      <c r="F314" s="64"/>
      <c r="G314" s="64" t="s">
        <v>19</v>
      </c>
      <c r="H314" s="64">
        <v>626</v>
      </c>
      <c r="I314" s="64">
        <v>43248</v>
      </c>
      <c r="J314" s="64">
        <v>339764776</v>
      </c>
      <c r="K314" s="64">
        <f>7871/3</f>
        <v>2623.6666666666665</v>
      </c>
    </row>
    <row r="315" spans="1:11" x14ac:dyDescent="0.2">
      <c r="A315" s="58" t="s">
        <v>20</v>
      </c>
      <c r="B315" s="68">
        <v>6</v>
      </c>
      <c r="C315" s="68">
        <v>1009</v>
      </c>
      <c r="D315" s="68">
        <v>5436181</v>
      </c>
      <c r="E315" s="68">
        <f>5547/3</f>
        <v>1849</v>
      </c>
      <c r="F315" s="64"/>
      <c r="G315" s="64" t="s">
        <v>20</v>
      </c>
      <c r="H315" s="64">
        <v>201</v>
      </c>
      <c r="I315" s="64">
        <v>29021</v>
      </c>
      <c r="J315" s="64">
        <v>230111842</v>
      </c>
      <c r="K315" s="64">
        <f>7947/3</f>
        <v>2649</v>
      </c>
    </row>
    <row r="316" spans="1:11" x14ac:dyDescent="0.2">
      <c r="A316" s="58" t="s">
        <v>21</v>
      </c>
      <c r="B316" s="68">
        <v>5</v>
      </c>
      <c r="C316" s="68">
        <v>1870</v>
      </c>
      <c r="D316" s="68">
        <v>10496118</v>
      </c>
      <c r="E316" s="68">
        <f>5682/3</f>
        <v>1894</v>
      </c>
      <c r="F316" s="64"/>
      <c r="G316" s="64" t="s">
        <v>21</v>
      </c>
      <c r="H316" s="64">
        <v>32</v>
      </c>
      <c r="I316" s="64">
        <v>10511</v>
      </c>
      <c r="J316" s="64">
        <v>80864491</v>
      </c>
      <c r="K316" s="64">
        <f>7713/3</f>
        <v>2571</v>
      </c>
    </row>
    <row r="317" spans="1:11" x14ac:dyDescent="0.2">
      <c r="A317" s="58" t="s">
        <v>23</v>
      </c>
      <c r="B317" s="68">
        <v>4</v>
      </c>
      <c r="C317" s="68">
        <v>2626</v>
      </c>
      <c r="D317" s="68">
        <v>5792352</v>
      </c>
      <c r="E317" s="68">
        <f>2273/3</f>
        <v>757.66666666666663</v>
      </c>
      <c r="F317" s="64"/>
      <c r="G317" s="64" t="s">
        <v>23</v>
      </c>
      <c r="H317" s="64">
        <v>13</v>
      </c>
      <c r="I317" s="64">
        <v>8644</v>
      </c>
      <c r="J317" s="64">
        <v>77709367</v>
      </c>
      <c r="K317" s="64">
        <f>9031/3</f>
        <v>3010.3333333333335</v>
      </c>
    </row>
    <row r="318" spans="1:11" x14ac:dyDescent="0.2">
      <c r="A318" s="58" t="s">
        <v>24</v>
      </c>
      <c r="B318" s="68">
        <v>11</v>
      </c>
      <c r="C318" s="68">
        <v>40063</v>
      </c>
      <c r="D318" s="68">
        <v>397953181</v>
      </c>
      <c r="E318" s="68">
        <f>10081/3</f>
        <v>3360.3333333333335</v>
      </c>
      <c r="F318" s="64"/>
      <c r="G318" s="64" t="s">
        <v>24</v>
      </c>
      <c r="H318" s="64">
        <v>1</v>
      </c>
      <c r="I318" s="64">
        <v>6110</v>
      </c>
      <c r="J318" s="64">
        <v>43667585</v>
      </c>
      <c r="K318" s="64">
        <f>7345/3</f>
        <v>2448.3333333333335</v>
      </c>
    </row>
    <row r="319" spans="1:11" x14ac:dyDescent="0.2">
      <c r="E319" t="s">
        <v>28</v>
      </c>
    </row>
    <row r="321" spans="1:1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x14ac:dyDescent="0.2">
      <c r="A322" s="74" t="s">
        <v>52</v>
      </c>
      <c r="B322" s="74"/>
      <c r="C322" s="74"/>
      <c r="D322" s="74"/>
      <c r="E322" s="74"/>
      <c r="F322" s="10"/>
      <c r="G322" s="74" t="s">
        <v>53</v>
      </c>
      <c r="H322" s="74"/>
      <c r="I322" s="74"/>
      <c r="J322" s="74"/>
      <c r="K322" s="74"/>
    </row>
    <row r="324" spans="1:11" x14ac:dyDescent="0.2">
      <c r="B324" s="9"/>
      <c r="C324" s="9"/>
      <c r="D324" s="9" t="s">
        <v>2</v>
      </c>
      <c r="E324" s="9" t="s">
        <v>3</v>
      </c>
      <c r="H324" s="9"/>
      <c r="I324" s="9"/>
      <c r="J324" s="9" t="s">
        <v>2</v>
      </c>
      <c r="K324" s="9" t="s">
        <v>3</v>
      </c>
    </row>
    <row r="325" spans="1:11" x14ac:dyDescent="0.2">
      <c r="A325" s="3" t="s">
        <v>4</v>
      </c>
      <c r="B325" s="9" t="s">
        <v>5</v>
      </c>
      <c r="C325" s="9" t="s">
        <v>6</v>
      </c>
      <c r="D325" s="9" t="s">
        <v>7</v>
      </c>
      <c r="E325" s="9" t="s">
        <v>8</v>
      </c>
      <c r="G325" s="3" t="s">
        <v>4</v>
      </c>
      <c r="H325" s="9" t="s">
        <v>5</v>
      </c>
      <c r="I325" s="9" t="s">
        <v>6</v>
      </c>
      <c r="J325" s="9" t="s">
        <v>7</v>
      </c>
      <c r="K325" s="9" t="s">
        <v>8</v>
      </c>
    </row>
    <row r="326" spans="1:11" x14ac:dyDescent="0.2">
      <c r="A326" s="3" t="s">
        <v>9</v>
      </c>
      <c r="B326" s="9" t="s">
        <v>10</v>
      </c>
      <c r="C326" s="9" t="s">
        <v>11</v>
      </c>
      <c r="D326" s="9" t="s">
        <v>12</v>
      </c>
      <c r="E326" s="9" t="s">
        <v>13</v>
      </c>
      <c r="G326" s="3" t="s">
        <v>9</v>
      </c>
      <c r="H326" s="9" t="s">
        <v>10</v>
      </c>
      <c r="I326" s="9" t="s">
        <v>11</v>
      </c>
      <c r="J326" s="9" t="s">
        <v>12</v>
      </c>
      <c r="K326" s="9" t="s">
        <v>13</v>
      </c>
    </row>
    <row r="329" spans="1:11" x14ac:dyDescent="0.2">
      <c r="A329" s="69" t="s">
        <v>27</v>
      </c>
      <c r="B329" s="67">
        <f>SUM(B331:B340)</f>
        <v>1012</v>
      </c>
      <c r="C329" s="67">
        <f>SUM(C331:C340)</f>
        <v>71169</v>
      </c>
      <c r="D329" s="71">
        <f>SUM(D331:D340)</f>
        <v>532678433</v>
      </c>
      <c r="E329" s="71">
        <f>7509/3</f>
        <v>2503</v>
      </c>
      <c r="F329" s="69"/>
      <c r="G329" s="69" t="s">
        <v>27</v>
      </c>
      <c r="H329" s="69">
        <f>SUM(H331:H340)</f>
        <v>86697</v>
      </c>
      <c r="I329" s="69">
        <f>SUM(I331:I340)</f>
        <v>1123850</v>
      </c>
      <c r="J329" s="70">
        <f>SUM(J331:J340)</f>
        <v>12107143826</v>
      </c>
      <c r="K329" s="70">
        <f>10854/3</f>
        <v>3618</v>
      </c>
    </row>
    <row r="330" spans="1:11" x14ac:dyDescent="0.2">
      <c r="A330" s="64" t="s">
        <v>28</v>
      </c>
      <c r="B330" s="68"/>
      <c r="C330" s="68"/>
      <c r="D330" s="68"/>
      <c r="E330" s="68"/>
      <c r="F330" s="64"/>
      <c r="G330" s="64" t="s">
        <v>28</v>
      </c>
      <c r="H330" s="64"/>
      <c r="I330" s="64"/>
      <c r="J330" s="64"/>
      <c r="K330" s="64"/>
    </row>
    <row r="331" spans="1:11" x14ac:dyDescent="0.2">
      <c r="A331" s="65">
        <v>0</v>
      </c>
      <c r="B331" s="68">
        <v>7</v>
      </c>
      <c r="C331" s="68">
        <v>0</v>
      </c>
      <c r="D331" s="68">
        <v>37963</v>
      </c>
      <c r="E331" s="68">
        <f>6327/3</f>
        <v>2109</v>
      </c>
      <c r="F331" s="64"/>
      <c r="G331" s="64" t="s">
        <v>15</v>
      </c>
      <c r="H331" s="64">
        <v>10942</v>
      </c>
      <c r="I331" s="64">
        <v>0</v>
      </c>
      <c r="J331" s="64">
        <v>46686463</v>
      </c>
      <c r="K331" s="64">
        <f>10543/3</f>
        <v>3514.3333333333335</v>
      </c>
    </row>
    <row r="332" spans="1:11" x14ac:dyDescent="0.2">
      <c r="A332" s="66" t="s">
        <v>16</v>
      </c>
      <c r="B332" s="68">
        <v>18</v>
      </c>
      <c r="C332" s="68">
        <v>49</v>
      </c>
      <c r="D332" s="68">
        <v>414166</v>
      </c>
      <c r="E332" s="68">
        <f>9272/3</f>
        <v>3090.6666666666665</v>
      </c>
      <c r="F332" s="64"/>
      <c r="G332" s="64" t="s">
        <v>16</v>
      </c>
      <c r="H332" s="64">
        <v>41217</v>
      </c>
      <c r="I332" s="64">
        <v>76155</v>
      </c>
      <c r="J332" s="64">
        <v>883027922</v>
      </c>
      <c r="K332" s="64">
        <f>11725/3</f>
        <v>3908.3333333333335</v>
      </c>
    </row>
    <row r="333" spans="1:11" x14ac:dyDescent="0.2">
      <c r="A333" s="64" t="s">
        <v>17</v>
      </c>
      <c r="B333" s="68">
        <v>49</v>
      </c>
      <c r="C333" s="68">
        <v>293</v>
      </c>
      <c r="D333" s="68">
        <v>1334924</v>
      </c>
      <c r="E333" s="68">
        <f>4571/3</f>
        <v>1523.6666666666667</v>
      </c>
      <c r="F333" s="64"/>
      <c r="G333" s="64" t="s">
        <v>17</v>
      </c>
      <c r="H333" s="64">
        <v>13709</v>
      </c>
      <c r="I333" s="64">
        <v>91389</v>
      </c>
      <c r="J333" s="64">
        <v>814742484</v>
      </c>
      <c r="K333" s="64">
        <f>9050/3</f>
        <v>3016.6666666666665</v>
      </c>
    </row>
    <row r="334" spans="1:11" x14ac:dyDescent="0.2">
      <c r="A334" s="66" t="s">
        <v>57</v>
      </c>
      <c r="B334" s="68">
        <v>64</v>
      </c>
      <c r="C334" s="68">
        <v>940</v>
      </c>
      <c r="D334" s="68">
        <v>6981481</v>
      </c>
      <c r="E334" s="68">
        <f>7427/3</f>
        <v>2475.6666666666665</v>
      </c>
      <c r="F334" s="64"/>
      <c r="G334" s="66" t="s">
        <v>57</v>
      </c>
      <c r="H334" s="64">
        <v>10173</v>
      </c>
      <c r="I334" s="64">
        <v>138230</v>
      </c>
      <c r="J334" s="64">
        <v>1218541852</v>
      </c>
      <c r="K334" s="64">
        <f>8930/3</f>
        <v>2976.6666666666665</v>
      </c>
    </row>
    <row r="335" spans="1:11" x14ac:dyDescent="0.2">
      <c r="A335" s="64" t="s">
        <v>18</v>
      </c>
      <c r="B335" s="68">
        <v>206</v>
      </c>
      <c r="C335" s="68">
        <v>7745</v>
      </c>
      <c r="D335" s="68">
        <v>60404285</v>
      </c>
      <c r="E335" s="68">
        <f>7791/3</f>
        <v>2597</v>
      </c>
      <c r="F335" s="64"/>
      <c r="G335" s="64" t="s">
        <v>18</v>
      </c>
      <c r="H335" s="64">
        <v>6847</v>
      </c>
      <c r="I335" s="64">
        <v>205666</v>
      </c>
      <c r="J335" s="64">
        <v>1911717886</v>
      </c>
      <c r="K335" s="64">
        <f>9418/3</f>
        <v>3139.3333333333335</v>
      </c>
    </row>
    <row r="336" spans="1:11" x14ac:dyDescent="0.2">
      <c r="A336" s="64" t="s">
        <v>19</v>
      </c>
      <c r="B336" s="68">
        <v>515</v>
      </c>
      <c r="C336" s="68">
        <v>35434</v>
      </c>
      <c r="D336" s="68">
        <v>269243478</v>
      </c>
      <c r="E336" s="68">
        <f>7622/3</f>
        <v>2540.6666666666665</v>
      </c>
      <c r="F336" s="64"/>
      <c r="G336" s="64" t="s">
        <v>19</v>
      </c>
      <c r="H336" s="64">
        <v>2167</v>
      </c>
      <c r="I336" s="64">
        <v>147393</v>
      </c>
      <c r="J336" s="64">
        <v>1543067362</v>
      </c>
      <c r="K336" s="64">
        <f>10593/3</f>
        <v>3531</v>
      </c>
    </row>
    <row r="337" spans="1:11" x14ac:dyDescent="0.2">
      <c r="A337" s="64" t="s">
        <v>20</v>
      </c>
      <c r="B337" s="68">
        <v>135</v>
      </c>
      <c r="C337" s="68">
        <v>18772</v>
      </c>
      <c r="D337" s="68">
        <v>151185584</v>
      </c>
      <c r="E337" s="68">
        <f>8070/3</f>
        <v>2690</v>
      </c>
      <c r="F337" s="64"/>
      <c r="G337" s="64" t="s">
        <v>20</v>
      </c>
      <c r="H337" s="64">
        <v>1171</v>
      </c>
      <c r="I337" s="64">
        <v>173713</v>
      </c>
      <c r="J337" s="64">
        <v>2015759922</v>
      </c>
      <c r="K337" s="64">
        <f>11772/3</f>
        <v>3924</v>
      </c>
    </row>
    <row r="338" spans="1:11" x14ac:dyDescent="0.2">
      <c r="A338" s="64" t="s">
        <v>21</v>
      </c>
      <c r="B338" s="68">
        <v>12</v>
      </c>
      <c r="C338" s="68">
        <v>3753</v>
      </c>
      <c r="D338" s="68">
        <v>20264979</v>
      </c>
      <c r="E338" s="68">
        <f>5451/3</f>
        <v>1817</v>
      </c>
      <c r="F338" s="64"/>
      <c r="G338" s="64" t="s">
        <v>21</v>
      </c>
      <c r="H338" s="64">
        <v>308</v>
      </c>
      <c r="I338" s="64">
        <v>106507</v>
      </c>
      <c r="J338" s="64">
        <v>1414278898</v>
      </c>
      <c r="K338" s="64">
        <f>13409/3</f>
        <v>4469.666666666667</v>
      </c>
    </row>
    <row r="339" spans="1:11" x14ac:dyDescent="0.2">
      <c r="A339" s="64" t="s">
        <v>23</v>
      </c>
      <c r="B339" s="68">
        <v>6</v>
      </c>
      <c r="C339" s="68">
        <v>4183</v>
      </c>
      <c r="D339" s="68">
        <v>22811573</v>
      </c>
      <c r="E339" s="68">
        <f>5525/3</f>
        <v>1841.6666666666667</v>
      </c>
      <c r="F339" s="64"/>
      <c r="G339" s="64" t="s">
        <v>23</v>
      </c>
      <c r="H339" s="64">
        <v>110</v>
      </c>
      <c r="I339" s="64">
        <v>74457</v>
      </c>
      <c r="J339" s="64">
        <v>939533170</v>
      </c>
      <c r="K339" s="64">
        <f>12698/3</f>
        <v>4232.666666666667</v>
      </c>
    </row>
    <row r="340" spans="1:11" x14ac:dyDescent="0.2">
      <c r="A340" s="64" t="s">
        <v>24</v>
      </c>
      <c r="B340" s="64"/>
      <c r="C340" s="64"/>
      <c r="D340" s="64"/>
      <c r="E340" s="64"/>
      <c r="F340" s="64"/>
      <c r="G340" s="64" t="s">
        <v>24</v>
      </c>
      <c r="H340" s="64">
        <v>53</v>
      </c>
      <c r="I340" s="64">
        <v>110340</v>
      </c>
      <c r="J340" s="64">
        <v>1319787867</v>
      </c>
      <c r="K340" s="64">
        <f>12015/3</f>
        <v>4005</v>
      </c>
    </row>
    <row r="343" spans="1:11" x14ac:dyDescent="0.2">
      <c r="A343" s="75" t="s">
        <v>63</v>
      </c>
      <c r="B343" s="76"/>
      <c r="C343" s="76"/>
      <c r="D343" s="76"/>
      <c r="E343" s="76"/>
      <c r="F343" s="76"/>
      <c r="G343" s="76"/>
      <c r="H343" s="76"/>
      <c r="I343" s="76"/>
    </row>
    <row r="379" spans="11:11" x14ac:dyDescent="0.2">
      <c r="K379" s="1"/>
    </row>
    <row r="455" spans="5:5" x14ac:dyDescent="0.2">
      <c r="E455" s="1"/>
    </row>
    <row r="476" spans="5:5" x14ac:dyDescent="0.2">
      <c r="E476" s="1"/>
    </row>
    <row r="575" spans="11:11" x14ac:dyDescent="0.2">
      <c r="K575" s="2"/>
    </row>
    <row r="651" spans="11:11" x14ac:dyDescent="0.2">
      <c r="K651" s="1"/>
    </row>
    <row r="703" spans="5:5" x14ac:dyDescent="0.2">
      <c r="E703" s="1"/>
    </row>
    <row r="725" spans="5:11" x14ac:dyDescent="0.2">
      <c r="E725" s="1"/>
      <c r="K725" s="1"/>
    </row>
    <row r="754" spans="5:5" x14ac:dyDescent="0.2">
      <c r="E754" s="1"/>
    </row>
    <row r="776" spans="5:11" x14ac:dyDescent="0.2">
      <c r="E776" s="1"/>
      <c r="K776" s="1"/>
    </row>
  </sheetData>
  <mergeCells count="45">
    <mergeCell ref="A202:E202"/>
    <mergeCell ref="G202:K202"/>
    <mergeCell ref="A300:E300"/>
    <mergeCell ref="G300:K300"/>
    <mergeCell ref="A322:E322"/>
    <mergeCell ref="G322:K322"/>
    <mergeCell ref="A223:E223"/>
    <mergeCell ref="G223:K223"/>
    <mergeCell ref="A250:E250"/>
    <mergeCell ref="G250:K250"/>
    <mergeCell ref="A272:E272"/>
    <mergeCell ref="G272:K272"/>
    <mergeCell ref="D297:H297"/>
    <mergeCell ref="A343:I343"/>
    <mergeCell ref="D199:H199"/>
    <mergeCell ref="D247:H247"/>
    <mergeCell ref="A105:E105"/>
    <mergeCell ref="A245:K245"/>
    <mergeCell ref="A295:K295"/>
    <mergeCell ref="A146:I146"/>
    <mergeCell ref="G105:K105"/>
    <mergeCell ref="A126:E126"/>
    <mergeCell ref="G126:K126"/>
    <mergeCell ref="A195:I195"/>
    <mergeCell ref="A243:I243"/>
    <mergeCell ref="A293:I293"/>
    <mergeCell ref="A154:E154"/>
    <mergeCell ref="G154:K154"/>
    <mergeCell ref="A175:F175"/>
    <mergeCell ref="A2:K2"/>
    <mergeCell ref="A54:K54"/>
    <mergeCell ref="A100:K100"/>
    <mergeCell ref="A149:K149"/>
    <mergeCell ref="A197:K197"/>
    <mergeCell ref="A7:E7"/>
    <mergeCell ref="G7:K7"/>
    <mergeCell ref="A29:E29"/>
    <mergeCell ref="G29:K29"/>
    <mergeCell ref="A59:E59"/>
    <mergeCell ref="G59:K59"/>
    <mergeCell ref="A80:E80"/>
    <mergeCell ref="G80:K80"/>
    <mergeCell ref="A50:I50"/>
    <mergeCell ref="A98:I98"/>
    <mergeCell ref="G175:K175"/>
  </mergeCells>
  <phoneticPr fontId="0" type="noConversion"/>
  <pageMargins left="0.75" right="0.75" top="0.55000000000000004" bottom="0.49" header="0.5" footer="0.5"/>
  <pageSetup scale="80" fitToWidth="7" orientation="landscape" r:id="rId1"/>
  <headerFooter alignWithMargins="0"/>
  <rowBreaks count="6" manualBreakCount="6">
    <brk id="52" max="16383" man="1"/>
    <brk id="98" max="16383" man="1"/>
    <brk id="147" max="16383" man="1"/>
    <brk id="195" max="16383" man="1"/>
    <brk id="243" max="16383" man="1"/>
    <brk id="2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TABLE16</vt:lpstr>
      <vt:lpstr>TABLE16!Print_Area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Schroeder</dc:creator>
  <cp:lastModifiedBy>DTSAdmin</cp:lastModifiedBy>
  <cp:lastPrinted>2016-10-05T16:55:50Z</cp:lastPrinted>
  <dcterms:created xsi:type="dcterms:W3CDTF">2002-12-20T22:52:14Z</dcterms:created>
  <dcterms:modified xsi:type="dcterms:W3CDTF">2016-10-05T17:34:34Z</dcterms:modified>
</cp:coreProperties>
</file>