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" yWindow="3156" windowWidth="7536" windowHeight="4896"/>
  </bookViews>
  <sheets>
    <sheet name="TABLE16" sheetId="1" r:id="rId1"/>
  </sheets>
  <definedNames>
    <definedName name="_xlnm.Print_Area" localSheetId="0">TABLE16!$A$1:$K$248</definedName>
    <definedName name="_xlnm.Print_Area">TABLE16!$P$553:$V$603</definedName>
    <definedName name="_xlnm.Print_Titles" localSheetId="0">TABLE16!$1:$2</definedName>
  </definedNames>
  <calcPr calcId="145621"/>
</workbook>
</file>

<file path=xl/calcChain.xml><?xml version="1.0" encoding="utf-8"?>
<calcChain xmlns="http://schemas.openxmlformats.org/spreadsheetml/2006/main">
  <c r="K248" i="1" l="1"/>
  <c r="K247" i="1"/>
  <c r="E247" i="1"/>
  <c r="K246" i="1"/>
  <c r="E246" i="1"/>
  <c r="K245" i="1"/>
  <c r="E245" i="1"/>
  <c r="K244" i="1"/>
  <c r="E244" i="1"/>
  <c r="K243" i="1"/>
  <c r="E243" i="1"/>
  <c r="K242" i="1"/>
  <c r="E242" i="1"/>
  <c r="K241" i="1"/>
  <c r="E241" i="1"/>
  <c r="K240" i="1"/>
  <c r="E240" i="1"/>
  <c r="K239" i="1"/>
  <c r="K237" i="1"/>
  <c r="J237" i="1"/>
  <c r="I237" i="1"/>
  <c r="H237" i="1"/>
  <c r="E237" i="1"/>
  <c r="D237" i="1"/>
  <c r="C237" i="1"/>
  <c r="B237" i="1"/>
  <c r="K230" i="1"/>
  <c r="E230" i="1"/>
  <c r="K229" i="1"/>
  <c r="E229" i="1"/>
  <c r="K228" i="1"/>
  <c r="E228" i="1"/>
  <c r="K227" i="1"/>
  <c r="E227" i="1"/>
  <c r="K226" i="1"/>
  <c r="E226" i="1"/>
  <c r="K225" i="1"/>
  <c r="E225" i="1"/>
  <c r="K224" i="1"/>
  <c r="E224" i="1"/>
  <c r="K223" i="1"/>
  <c r="E223" i="1"/>
  <c r="K222" i="1"/>
  <c r="E222" i="1"/>
  <c r="K221" i="1"/>
  <c r="E221" i="1"/>
  <c r="K219" i="1"/>
  <c r="J219" i="1"/>
  <c r="I219" i="1"/>
  <c r="H219" i="1"/>
  <c r="E219" i="1"/>
  <c r="D219" i="1"/>
  <c r="C219" i="1"/>
  <c r="B219" i="1"/>
  <c r="K212" i="1"/>
  <c r="E212" i="1"/>
  <c r="K211" i="1"/>
  <c r="E211" i="1"/>
  <c r="K210" i="1"/>
  <c r="E210" i="1"/>
  <c r="K209" i="1"/>
  <c r="E209" i="1"/>
  <c r="K208" i="1"/>
  <c r="E208" i="1"/>
  <c r="K207" i="1"/>
  <c r="E207" i="1"/>
  <c r="K206" i="1"/>
  <c r="E206" i="1"/>
  <c r="K205" i="1"/>
  <c r="E205" i="1"/>
  <c r="K204" i="1"/>
  <c r="E204" i="1"/>
  <c r="K203" i="1"/>
  <c r="E203" i="1"/>
  <c r="K201" i="1"/>
  <c r="J201" i="1"/>
  <c r="I201" i="1"/>
  <c r="H201" i="1"/>
  <c r="E201" i="1"/>
  <c r="D201" i="1"/>
  <c r="C201" i="1"/>
  <c r="B201" i="1"/>
  <c r="K194" i="1"/>
  <c r="E194" i="1"/>
  <c r="K193" i="1"/>
  <c r="E193" i="1"/>
  <c r="K192" i="1"/>
  <c r="E192" i="1"/>
  <c r="K191" i="1"/>
  <c r="E191" i="1"/>
  <c r="K190" i="1"/>
  <c r="E190" i="1"/>
  <c r="K189" i="1"/>
  <c r="E189" i="1"/>
  <c r="K188" i="1"/>
  <c r="E188" i="1"/>
  <c r="K187" i="1"/>
  <c r="E187" i="1"/>
  <c r="K186" i="1"/>
  <c r="E186" i="1"/>
  <c r="K185" i="1"/>
  <c r="E185" i="1"/>
  <c r="K183" i="1"/>
  <c r="J183" i="1"/>
  <c r="I183" i="1"/>
  <c r="H183" i="1"/>
  <c r="E183" i="1"/>
  <c r="D183" i="1"/>
  <c r="C183" i="1"/>
  <c r="B183" i="1"/>
  <c r="D176" i="1"/>
  <c r="E176" i="1" s="1"/>
  <c r="C176" i="1"/>
  <c r="C166" i="1" s="1"/>
  <c r="B176" i="1"/>
  <c r="B166" i="1" s="1"/>
  <c r="E175" i="1"/>
  <c r="E174" i="1"/>
  <c r="E173" i="1"/>
  <c r="E172" i="1"/>
  <c r="E171" i="1"/>
  <c r="E170" i="1"/>
  <c r="E169" i="1"/>
  <c r="E168" i="1"/>
  <c r="E166" i="1"/>
  <c r="E159" i="1"/>
  <c r="K158" i="1"/>
  <c r="E158" i="1"/>
  <c r="K157" i="1"/>
  <c r="E157" i="1"/>
  <c r="K156" i="1"/>
  <c r="E156" i="1"/>
  <c r="K155" i="1"/>
  <c r="E155" i="1"/>
  <c r="K154" i="1"/>
  <c r="E154" i="1"/>
  <c r="K153" i="1"/>
  <c r="E153" i="1"/>
  <c r="K152" i="1"/>
  <c r="E152" i="1"/>
  <c r="K151" i="1"/>
  <c r="E151" i="1"/>
  <c r="K150" i="1"/>
  <c r="E150" i="1"/>
  <c r="K148" i="1"/>
  <c r="J148" i="1"/>
  <c r="I148" i="1"/>
  <c r="H148" i="1"/>
  <c r="E148" i="1"/>
  <c r="D148" i="1"/>
  <c r="C148" i="1"/>
  <c r="B148" i="1"/>
  <c r="E141" i="1"/>
  <c r="J140" i="1"/>
  <c r="J130" i="1" s="1"/>
  <c r="I140" i="1"/>
  <c r="I130" i="1" s="1"/>
  <c r="H140" i="1"/>
  <c r="H130" i="1" s="1"/>
  <c r="E140" i="1"/>
  <c r="K139" i="1"/>
  <c r="E139" i="1"/>
  <c r="K138" i="1"/>
  <c r="E138" i="1"/>
  <c r="K137" i="1"/>
  <c r="E137" i="1"/>
  <c r="K136" i="1"/>
  <c r="E136" i="1"/>
  <c r="K135" i="1"/>
  <c r="E135" i="1"/>
  <c r="K134" i="1"/>
  <c r="E134" i="1"/>
  <c r="K133" i="1"/>
  <c r="E133" i="1"/>
  <c r="K132" i="1"/>
  <c r="E132" i="1"/>
  <c r="K130" i="1"/>
  <c r="E130" i="1"/>
  <c r="D130" i="1"/>
  <c r="C130" i="1"/>
  <c r="B130" i="1"/>
  <c r="J123" i="1"/>
  <c r="J113" i="1" s="1"/>
  <c r="I123" i="1"/>
  <c r="I113" i="1" s="1"/>
  <c r="H123" i="1"/>
  <c r="H113" i="1" s="1"/>
  <c r="E123" i="1"/>
  <c r="K122" i="1"/>
  <c r="E122" i="1"/>
  <c r="K121" i="1"/>
  <c r="E121" i="1"/>
  <c r="K120" i="1"/>
  <c r="E120" i="1"/>
  <c r="K119" i="1"/>
  <c r="E119" i="1"/>
  <c r="K118" i="1"/>
  <c r="E118" i="1"/>
  <c r="K117" i="1"/>
  <c r="E117" i="1"/>
  <c r="K116" i="1"/>
  <c r="E116" i="1"/>
  <c r="K115" i="1"/>
  <c r="E115" i="1"/>
  <c r="K113" i="1"/>
  <c r="E113" i="1"/>
  <c r="D113" i="1"/>
  <c r="C113" i="1"/>
  <c r="B113" i="1"/>
  <c r="E106" i="1"/>
  <c r="E105" i="1"/>
  <c r="E104" i="1"/>
  <c r="J103" i="1"/>
  <c r="K103" i="1" s="1"/>
  <c r="I103" i="1"/>
  <c r="I95" i="1" s="1"/>
  <c r="H103" i="1"/>
  <c r="H95" i="1" s="1"/>
  <c r="E103" i="1"/>
  <c r="K102" i="1"/>
  <c r="E102" i="1"/>
  <c r="K101" i="1"/>
  <c r="E101" i="1"/>
  <c r="K100" i="1"/>
  <c r="E100" i="1"/>
  <c r="K99" i="1"/>
  <c r="E99" i="1"/>
  <c r="K98" i="1"/>
  <c r="E98" i="1"/>
  <c r="K97" i="1"/>
  <c r="E97" i="1"/>
  <c r="K95" i="1"/>
  <c r="E95" i="1"/>
  <c r="D95" i="1"/>
  <c r="C95" i="1"/>
  <c r="B95" i="1"/>
  <c r="E88" i="1"/>
  <c r="J87" i="1"/>
  <c r="K87" i="1" s="1"/>
  <c r="I87" i="1"/>
  <c r="I77" i="1" s="1"/>
  <c r="H87" i="1"/>
  <c r="H77" i="1" s="1"/>
  <c r="E87" i="1"/>
  <c r="K86" i="1"/>
  <c r="E86" i="1"/>
  <c r="K85" i="1"/>
  <c r="E85" i="1"/>
  <c r="K84" i="1"/>
  <c r="E84" i="1"/>
  <c r="K83" i="1"/>
  <c r="E83" i="1"/>
  <c r="K82" i="1"/>
  <c r="E82" i="1"/>
  <c r="K81" i="1"/>
  <c r="E81" i="1"/>
  <c r="K80" i="1"/>
  <c r="E80" i="1"/>
  <c r="K79" i="1"/>
  <c r="E79" i="1"/>
  <c r="K77" i="1"/>
  <c r="E77" i="1"/>
  <c r="D77" i="1"/>
  <c r="C77" i="1"/>
  <c r="B77" i="1"/>
  <c r="J70" i="1"/>
  <c r="K70" i="1" s="1"/>
  <c r="I70" i="1"/>
  <c r="I61" i="1" s="1"/>
  <c r="H70" i="1"/>
  <c r="H61" i="1" s="1"/>
  <c r="D70" i="1"/>
  <c r="E70" i="1" s="1"/>
  <c r="C70" i="1"/>
  <c r="C61" i="1" s="1"/>
  <c r="B70" i="1"/>
  <c r="B61" i="1" s="1"/>
  <c r="K69" i="1"/>
  <c r="E69" i="1"/>
  <c r="K68" i="1"/>
  <c r="E68" i="1"/>
  <c r="K67" i="1"/>
  <c r="E67" i="1"/>
  <c r="K66" i="1"/>
  <c r="E66" i="1"/>
  <c r="K65" i="1"/>
  <c r="E65" i="1"/>
  <c r="K64" i="1"/>
  <c r="E64" i="1"/>
  <c r="K63" i="1"/>
  <c r="E63" i="1"/>
  <c r="K61" i="1"/>
  <c r="E61" i="1"/>
  <c r="E54" i="1"/>
  <c r="J53" i="1"/>
  <c r="K53" i="1" s="1"/>
  <c r="I53" i="1"/>
  <c r="E53" i="1"/>
  <c r="K52" i="1"/>
  <c r="H52" i="1"/>
  <c r="E52" i="1"/>
  <c r="K51" i="1"/>
  <c r="J51" i="1"/>
  <c r="I51" i="1"/>
  <c r="H51" i="1"/>
  <c r="E51" i="1"/>
  <c r="K50" i="1"/>
  <c r="J50" i="1"/>
  <c r="I50" i="1"/>
  <c r="H50" i="1"/>
  <c r="E50" i="1"/>
  <c r="K49" i="1"/>
  <c r="J49" i="1"/>
  <c r="I49" i="1"/>
  <c r="H49" i="1"/>
  <c r="E49" i="1"/>
  <c r="K48" i="1"/>
  <c r="J48" i="1"/>
  <c r="I48" i="1"/>
  <c r="H48" i="1"/>
  <c r="E48" i="1"/>
  <c r="K47" i="1"/>
  <c r="J47" i="1"/>
  <c r="I47" i="1"/>
  <c r="H47" i="1"/>
  <c r="E47" i="1"/>
  <c r="K46" i="1"/>
  <c r="J46" i="1"/>
  <c r="I46" i="1"/>
  <c r="H46" i="1"/>
  <c r="E46" i="1"/>
  <c r="K45" i="1"/>
  <c r="J45" i="1"/>
  <c r="I45" i="1"/>
  <c r="H45" i="1"/>
  <c r="E45" i="1"/>
  <c r="K43" i="1"/>
  <c r="E43" i="1"/>
  <c r="D43" i="1"/>
  <c r="C43" i="1"/>
  <c r="B43" i="1"/>
  <c r="J36" i="1"/>
  <c r="K36" i="1" s="1"/>
  <c r="I36" i="1"/>
  <c r="I26" i="1" s="1"/>
  <c r="H36" i="1"/>
  <c r="H26" i="1" s="1"/>
  <c r="K35" i="1"/>
  <c r="K34" i="1"/>
  <c r="D34" i="1"/>
  <c r="D26" i="1" s="1"/>
  <c r="C34" i="1"/>
  <c r="C26" i="1" s="1"/>
  <c r="K33" i="1"/>
  <c r="E33" i="1"/>
  <c r="K32" i="1"/>
  <c r="E32" i="1"/>
  <c r="K31" i="1"/>
  <c r="E31" i="1"/>
  <c r="K30" i="1"/>
  <c r="E30" i="1"/>
  <c r="K29" i="1"/>
  <c r="E29" i="1"/>
  <c r="K28" i="1"/>
  <c r="E28" i="1"/>
  <c r="K26" i="1"/>
  <c r="E26" i="1"/>
  <c r="B26" i="1"/>
  <c r="E19" i="1"/>
  <c r="E18" i="1"/>
  <c r="J17" i="1"/>
  <c r="J8" i="1" s="1"/>
  <c r="I17" i="1"/>
  <c r="I8" i="1" s="1"/>
  <c r="E17" i="1"/>
  <c r="K16" i="1"/>
  <c r="E16" i="1"/>
  <c r="K15" i="1"/>
  <c r="E15" i="1"/>
  <c r="K14" i="1"/>
  <c r="E14" i="1"/>
  <c r="K13" i="1"/>
  <c r="E13" i="1"/>
  <c r="K12" i="1"/>
  <c r="E12" i="1"/>
  <c r="K11" i="1"/>
  <c r="E11" i="1"/>
  <c r="K10" i="1"/>
  <c r="E10" i="1"/>
  <c r="K8" i="1"/>
  <c r="H8" i="1"/>
  <c r="E8" i="1"/>
  <c r="D8" i="1"/>
  <c r="C8" i="1"/>
  <c r="B8" i="1"/>
  <c r="D61" i="1" l="1"/>
  <c r="J95" i="1"/>
  <c r="D166" i="1"/>
  <c r="I43" i="1"/>
  <c r="J26" i="1"/>
  <c r="E34" i="1"/>
  <c r="H43" i="1"/>
  <c r="J43" i="1"/>
  <c r="K123" i="1"/>
  <c r="K140" i="1"/>
  <c r="J77" i="1"/>
  <c r="K17" i="1"/>
  <c r="J61" i="1"/>
</calcChain>
</file>

<file path=xl/sharedStrings.xml><?xml version="1.0" encoding="utf-8"?>
<sst xmlns="http://schemas.openxmlformats.org/spreadsheetml/2006/main" count="682" uniqueCount="65">
  <si>
    <t>STATE TOTAL</t>
  </si>
  <si>
    <t>Total</t>
  </si>
  <si>
    <t xml:space="preserve">   Average</t>
  </si>
  <si>
    <t>Employment</t>
  </si>
  <si>
    <t xml:space="preserve">   Number of</t>
  </si>
  <si>
    <t xml:space="preserve">    March</t>
  </si>
  <si>
    <t>Quarterly</t>
  </si>
  <si>
    <t xml:space="preserve">   Monthly</t>
  </si>
  <si>
    <t xml:space="preserve">  Range</t>
  </si>
  <si>
    <t>Establishments</t>
  </si>
  <si>
    <t xml:space="preserve">  Employment</t>
  </si>
  <si>
    <t>Wages</t>
  </si>
  <si>
    <t xml:space="preserve">   Wage</t>
  </si>
  <si>
    <t xml:space="preserve">  Total</t>
  </si>
  <si>
    <t>0</t>
  </si>
  <si>
    <t>1-4</t>
  </si>
  <si>
    <t>5-9</t>
  </si>
  <si>
    <t>20-49</t>
  </si>
  <si>
    <t>50-99</t>
  </si>
  <si>
    <t>100-249</t>
  </si>
  <si>
    <t>250-499</t>
  </si>
  <si>
    <t>250 &amp; Over</t>
  </si>
  <si>
    <t>500-999</t>
  </si>
  <si>
    <t>1,000 &amp; Over</t>
  </si>
  <si>
    <t>UTILITIES (22)</t>
  </si>
  <si>
    <t xml:space="preserve">   Total</t>
  </si>
  <si>
    <t xml:space="preserve"> </t>
  </si>
  <si>
    <t>500 &amp; Over</t>
  </si>
  <si>
    <t xml:space="preserve">  </t>
  </si>
  <si>
    <t>FINANCE AND INSURANCE (52)</t>
  </si>
  <si>
    <t>REAL ESTATE &amp; RENTAL AND LEASING (53)</t>
  </si>
  <si>
    <t>100 &amp; Over</t>
  </si>
  <si>
    <t>PROFESSIONAL, SCIENTIFIC, AND TECHNICAL SERVICES (54)</t>
  </si>
  <si>
    <t>MANAGEMENT OF COMPANIES AND ENTERPRISES (55)</t>
  </si>
  <si>
    <t>ADMINISTRATIVE &amp; SUPPORT, WASTE MANAGEMENT, &amp; REMEDIATION SERVICES (56)</t>
  </si>
  <si>
    <t>HEALTH CARE AND SOCIAL ASSISTANCE (62)</t>
  </si>
  <si>
    <t>ARTS, ENTERTAINMENT, AND RECREATION (71)</t>
  </si>
  <si>
    <t>ACCOMMODATION AND FOOD SERVICES (72)</t>
  </si>
  <si>
    <t>OTHER SERVICES (81)</t>
  </si>
  <si>
    <t>FEDERAL GOVERNMENT</t>
  </si>
  <si>
    <t>FEDERAL DEFENSE</t>
  </si>
  <si>
    <t>STATE GOVERNMENT</t>
  </si>
  <si>
    <t>STATE EDUCATION</t>
  </si>
  <si>
    <t>LOCAL GOVERNMENT</t>
  </si>
  <si>
    <t>LOCAL EDUCATION</t>
  </si>
  <si>
    <t>PRIVATE SECTOR</t>
  </si>
  <si>
    <t>GOVERNMENT (92)</t>
  </si>
  <si>
    <t>500 &amp;  Over</t>
  </si>
  <si>
    <t>500 - 999</t>
  </si>
  <si>
    <t>10-19</t>
  </si>
  <si>
    <t>1000 &amp; Over</t>
  </si>
  <si>
    <t xml:space="preserve"> 500 &amp; Over</t>
  </si>
  <si>
    <t xml:space="preserve">250-499 </t>
  </si>
  <si>
    <t>EDUCATIONAL SERVICES (PRIVATE) (61)</t>
  </si>
  <si>
    <t>TABLE 16.  UTAH ESTABLISHMENTS, EMPLOYMENT,</t>
  </si>
  <si>
    <t xml:space="preserve"> AND WAGES BY FIRM SIZE AND INDUSTRY, FIRST QUARTER 2013</t>
  </si>
  <si>
    <t>MINING (21)</t>
  </si>
  <si>
    <t>CONSTRUCTION (23)</t>
  </si>
  <si>
    <t>MANUFACTURING (31-33)</t>
  </si>
  <si>
    <t>TRADE</t>
  </si>
  <si>
    <t>TRANSPORTATION AND WAREHOUSING (48-49)</t>
  </si>
  <si>
    <t>INFORMATION (51)</t>
  </si>
  <si>
    <t>WHOLDESALE TRADE (42)</t>
  </si>
  <si>
    <t>RETAIL TRADE (44-45)</t>
  </si>
  <si>
    <t>Source: Utah Department of Workforce Services, Workforce Research &amp; Analysis, Annual Report of Labor Market Information,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</si>
</sst>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\ ;\(&quot;$&quot;#,##0\)"/>
    <numFmt numFmtId="165" formatCode="&quot;$&quot;#,##0"/>
  </numFmts>
  <fonts count="11" x14ac:knownFonts="1">
    <font>
      <sz val="10"/>
      <name val="Arial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color indexed="10"/>
      <name val="Arial"/>
      <family val="2"/>
    </font>
    <font>
      <b/>
      <sz val="11"/>
      <color theme="0"/>
      <name val="Arial"/>
      <family val="2"/>
    </font>
    <font>
      <b/>
      <sz val="11"/>
      <color rgb="FF00000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32">
    <xf numFmtId="3" fontId="0" fillId="0" borderId="0" xfId="0" applyNumberFormat="1"/>
    <xf numFmtId="3" fontId="1" fillId="0" borderId="0" xfId="0" applyNumberFormat="1" applyFont="1" applyFill="1"/>
    <xf numFmtId="3" fontId="2" fillId="0" borderId="0" xfId="0" applyNumberFormat="1" applyFont="1"/>
    <xf numFmtId="3" fontId="4" fillId="0" borderId="0" xfId="0" applyNumberFormat="1" applyFont="1" applyFill="1"/>
    <xf numFmtId="3" fontId="2" fillId="0" borderId="0" xfId="0" applyNumberFormat="1" applyFont="1" applyFill="1"/>
    <xf numFmtId="3" fontId="3" fillId="0" borderId="0" xfId="0" applyNumberFormat="1" applyFont="1" applyFill="1"/>
    <xf numFmtId="3" fontId="2" fillId="0" borderId="0" xfId="1" applyNumberFormat="1" applyFont="1" applyFill="1"/>
    <xf numFmtId="3" fontId="4" fillId="2" borderId="0" xfId="0" applyNumberFormat="1" applyFont="1" applyFill="1" applyAlignment="1">
      <alignment horizontal="right"/>
    </xf>
    <xf numFmtId="3" fontId="4" fillId="2" borderId="0" xfId="0" applyNumberFormat="1" applyFont="1" applyFill="1"/>
    <xf numFmtId="3" fontId="4" fillId="2" borderId="0" xfId="0" applyNumberFormat="1" applyFont="1" applyFill="1" applyAlignment="1">
      <alignment horizontal="left"/>
    </xf>
    <xf numFmtId="3" fontId="6" fillId="3" borderId="0" xfId="0" applyNumberFormat="1" applyFont="1" applyFill="1"/>
    <xf numFmtId="3" fontId="4" fillId="0" borderId="0" xfId="0" applyNumberFormat="1" applyFont="1"/>
    <xf numFmtId="165" fontId="4" fillId="0" borderId="0" xfId="0" applyNumberFormat="1" applyFont="1"/>
    <xf numFmtId="164" fontId="4" fillId="0" borderId="0" xfId="0" applyNumberFormat="1" applyFont="1"/>
    <xf numFmtId="3" fontId="4" fillId="2" borderId="1" xfId="0" applyNumberFormat="1" applyFont="1" applyFill="1" applyBorder="1" applyAlignment="1">
      <alignment horizontal="left"/>
    </xf>
    <xf numFmtId="3" fontId="4" fillId="2" borderId="1" xfId="0" applyNumberFormat="1" applyFont="1" applyFill="1" applyBorder="1" applyAlignment="1">
      <alignment horizontal="right"/>
    </xf>
    <xf numFmtId="3" fontId="4" fillId="2" borderId="1" xfId="0" applyNumberFormat="1" applyFont="1" applyFill="1" applyBorder="1"/>
    <xf numFmtId="3" fontId="4" fillId="2" borderId="0" xfId="0" applyNumberFormat="1" applyFont="1" applyFill="1" applyBorder="1" applyAlignment="1">
      <alignment horizontal="right"/>
    </xf>
    <xf numFmtId="3" fontId="4" fillId="2" borderId="0" xfId="0" applyNumberFormat="1" applyFont="1" applyFill="1" applyBorder="1"/>
    <xf numFmtId="3" fontId="4" fillId="2" borderId="0" xfId="0" applyNumberFormat="1" applyFont="1" applyFill="1" applyBorder="1" applyAlignment="1">
      <alignment horizontal="left"/>
    </xf>
    <xf numFmtId="3" fontId="7" fillId="0" borderId="0" xfId="0" applyNumberFormat="1" applyFont="1"/>
    <xf numFmtId="164" fontId="4" fillId="0" borderId="0" xfId="0" applyNumberFormat="1" applyFont="1" applyAlignment="1"/>
    <xf numFmtId="165" fontId="4" fillId="0" borderId="0" xfId="0" applyNumberFormat="1" applyFont="1" applyFill="1"/>
    <xf numFmtId="3" fontId="2" fillId="0" borderId="0" xfId="0" quotePrefix="1" applyNumberFormat="1" applyFont="1"/>
    <xf numFmtId="164" fontId="2" fillId="0" borderId="0" xfId="0" applyNumberFormat="1" applyFont="1"/>
    <xf numFmtId="3" fontId="2" fillId="0" borderId="0" xfId="0" applyNumberFormat="1" applyFont="1" applyAlignment="1">
      <alignment horizontal="left"/>
    </xf>
    <xf numFmtId="4" fontId="2" fillId="0" borderId="0" xfId="0" applyNumberFormat="1" applyFont="1"/>
    <xf numFmtId="3" fontId="8" fillId="4" borderId="0" xfId="0" applyNumberFormat="1" applyFont="1" applyFill="1" applyAlignment="1">
      <alignment horizontal="center"/>
    </xf>
    <xf numFmtId="3" fontId="8" fillId="4" borderId="0" xfId="0" applyNumberFormat="1" applyFont="1" applyFill="1" applyAlignment="1">
      <alignment horizontal="center" vertical="center"/>
    </xf>
    <xf numFmtId="3" fontId="9" fillId="4" borderId="0" xfId="0" applyNumberFormat="1" applyFont="1" applyFill="1" applyAlignment="1">
      <alignment horizontal="center" vertical="center"/>
    </xf>
    <xf numFmtId="3" fontId="5" fillId="3" borderId="0" xfId="0" applyNumberFormat="1" applyFont="1" applyFill="1" applyAlignment="1">
      <alignment horizontal="center"/>
    </xf>
    <xf numFmtId="3" fontId="10" fillId="0" borderId="0" xfId="0" applyNumberFormat="1" applyFont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683"/>
  <sheetViews>
    <sheetView tabSelected="1" zoomScaleNormal="100" workbookViewId="0">
      <selection activeCell="A8" sqref="A8"/>
    </sheetView>
  </sheetViews>
  <sheetFormatPr defaultRowHeight="13.2" x14ac:dyDescent="0.25"/>
  <cols>
    <col min="1" max="1" width="12.6640625" style="2" customWidth="1"/>
    <col min="2" max="2" width="17.109375" style="2" bestFit="1" customWidth="1"/>
    <col min="3" max="3" width="15.109375" style="2" bestFit="1" customWidth="1"/>
    <col min="4" max="4" width="19.21875" style="2" bestFit="1" customWidth="1"/>
    <col min="5" max="5" width="11.6640625" style="2" customWidth="1"/>
    <col min="6" max="6" width="6.6640625" style="2" customWidth="1"/>
    <col min="7" max="7" width="13.77734375" style="2" bestFit="1" customWidth="1"/>
    <col min="8" max="8" width="17.109375" style="2" bestFit="1" customWidth="1"/>
    <col min="9" max="9" width="15.109375" style="2" bestFit="1" customWidth="1"/>
    <col min="10" max="10" width="18.77734375" style="2" bestFit="1" customWidth="1"/>
    <col min="11" max="11" width="11.77734375" style="2" bestFit="1" customWidth="1"/>
    <col min="12" max="12" width="8.88671875" style="2"/>
    <col min="13" max="13" width="12.6640625" style="2" customWidth="1"/>
    <col min="14" max="14" width="11.6640625" style="2" customWidth="1"/>
    <col min="15" max="15" width="12.6640625" style="2" customWidth="1"/>
    <col min="16" max="16" width="14.6640625" style="2" customWidth="1"/>
    <col min="17" max="17" width="12.6640625" style="2" customWidth="1"/>
    <col min="18" max="18" width="11.109375" style="2" bestFit="1" customWidth="1"/>
    <col min="19" max="19" width="12.6640625" style="2" customWidth="1"/>
    <col min="20" max="20" width="14.6640625" style="2" customWidth="1"/>
    <col min="21" max="21" width="11.6640625" style="2" customWidth="1"/>
    <col min="22" max="22" width="14.6640625" style="2" customWidth="1"/>
    <col min="23" max="23" width="11.6640625" style="2" customWidth="1"/>
    <col min="24" max="25" width="11.109375" style="2" bestFit="1" customWidth="1"/>
    <col min="26" max="27" width="8.88671875" style="2"/>
    <col min="28" max="28" width="10.6640625" style="2" customWidth="1"/>
    <col min="29" max="31" width="8.88671875" style="2"/>
    <col min="32" max="32" width="3.6640625" style="2" customWidth="1"/>
    <col min="33" max="35" width="8.88671875" style="2"/>
    <col min="36" max="36" width="4.6640625" style="2" customWidth="1"/>
    <col min="37" max="37" width="15.6640625" style="2" customWidth="1"/>
    <col min="38" max="40" width="8.88671875" style="2"/>
    <col min="41" max="41" width="12.6640625" style="2" customWidth="1"/>
    <col min="42" max="43" width="11.6640625" style="2" customWidth="1"/>
    <col min="44" max="44" width="14.6640625" style="2" customWidth="1"/>
    <col min="45" max="45" width="11.6640625" style="2" customWidth="1"/>
    <col min="46" max="46" width="8.88671875" style="2"/>
    <col min="47" max="47" width="12.6640625" style="2" customWidth="1"/>
    <col min="48" max="49" width="11.6640625" style="2" customWidth="1"/>
    <col min="50" max="50" width="14.6640625" style="2" customWidth="1"/>
    <col min="51" max="51" width="11.6640625" style="2" customWidth="1"/>
    <col min="52" max="52" width="8.88671875" style="2"/>
    <col min="53" max="55" width="11.6640625" style="2" customWidth="1"/>
    <col min="56" max="56" width="14.6640625" style="2" customWidth="1"/>
    <col min="57" max="57" width="11.6640625" style="2" customWidth="1"/>
    <col min="58" max="58" width="8.88671875" style="2"/>
    <col min="59" max="61" width="11.6640625" style="2" customWidth="1"/>
    <col min="62" max="62" width="14.6640625" style="2" customWidth="1"/>
    <col min="63" max="63" width="11.6640625" style="2" customWidth="1"/>
    <col min="64" max="64" width="8.88671875" style="2"/>
    <col min="65" max="65" width="12.6640625" style="2" customWidth="1"/>
    <col min="66" max="67" width="11.6640625" style="2" customWidth="1"/>
    <col min="68" max="68" width="14.6640625" style="2" customWidth="1"/>
    <col min="69" max="69" width="11.6640625" style="2" customWidth="1"/>
    <col min="70" max="70" width="8.88671875" style="2"/>
    <col min="71" max="71" width="12.6640625" style="2" customWidth="1"/>
    <col min="72" max="73" width="11.6640625" style="2" customWidth="1"/>
    <col min="74" max="74" width="14.6640625" style="2" customWidth="1"/>
    <col min="75" max="75" width="11.6640625" style="2" customWidth="1"/>
    <col min="76" max="16384" width="8.88671875" style="2"/>
  </cols>
  <sheetData>
    <row r="1" spans="1:11" ht="13.8" x14ac:dyDescent="0.25">
      <c r="A1" s="28" t="s">
        <v>54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ht="13.8" x14ac:dyDescent="0.25">
      <c r="A2" s="27" t="s">
        <v>55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x14ac:dyDescent="0.25">
      <c r="A3" s="30" t="s">
        <v>0</v>
      </c>
      <c r="B3" s="30"/>
      <c r="C3" s="30"/>
      <c r="D3" s="30"/>
      <c r="E3" s="30"/>
      <c r="F3" s="10"/>
      <c r="G3" s="30" t="s">
        <v>56</v>
      </c>
      <c r="H3" s="30"/>
      <c r="I3" s="30"/>
      <c r="J3" s="30"/>
      <c r="K3" s="30"/>
    </row>
    <row r="4" spans="1:11" x14ac:dyDescent="0.25">
      <c r="A4" s="7"/>
      <c r="B4" s="7"/>
      <c r="C4" s="7"/>
      <c r="D4" s="7" t="s">
        <v>1</v>
      </c>
      <c r="E4" s="7" t="s">
        <v>2</v>
      </c>
      <c r="F4" s="8"/>
      <c r="G4" s="7"/>
      <c r="H4" s="7"/>
      <c r="I4" s="7"/>
      <c r="J4" s="7" t="s">
        <v>1</v>
      </c>
      <c r="K4" s="7" t="s">
        <v>2</v>
      </c>
    </row>
    <row r="5" spans="1:11" x14ac:dyDescent="0.25">
      <c r="A5" s="9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8"/>
      <c r="G5" s="9" t="s">
        <v>3</v>
      </c>
      <c r="H5" s="7" t="s">
        <v>4</v>
      </c>
      <c r="I5" s="7" t="s">
        <v>5</v>
      </c>
      <c r="J5" s="7" t="s">
        <v>6</v>
      </c>
      <c r="K5" s="7" t="s">
        <v>7</v>
      </c>
    </row>
    <row r="6" spans="1:11" ht="13.8" thickBot="1" x14ac:dyDescent="0.3">
      <c r="A6" s="14" t="s">
        <v>8</v>
      </c>
      <c r="B6" s="15" t="s">
        <v>9</v>
      </c>
      <c r="C6" s="15" t="s">
        <v>10</v>
      </c>
      <c r="D6" s="15" t="s">
        <v>11</v>
      </c>
      <c r="E6" s="15" t="s">
        <v>12</v>
      </c>
      <c r="F6" s="16"/>
      <c r="G6" s="14" t="s">
        <v>8</v>
      </c>
      <c r="H6" s="15" t="s">
        <v>9</v>
      </c>
      <c r="I6" s="15" t="s">
        <v>10</v>
      </c>
      <c r="J6" s="15" t="s">
        <v>11</v>
      </c>
      <c r="K6" s="15" t="s">
        <v>12</v>
      </c>
    </row>
    <row r="7" spans="1:11" ht="13.8" thickTop="1" x14ac:dyDescent="0.25"/>
    <row r="8" spans="1:11" s="11" customFormat="1" x14ac:dyDescent="0.25">
      <c r="A8" s="11" t="s">
        <v>25</v>
      </c>
      <c r="B8" s="11">
        <f>SUM(B10:B19)</f>
        <v>84915</v>
      </c>
      <c r="C8" s="11">
        <f>SUM(C11:C19)</f>
        <v>1271359</v>
      </c>
      <c r="D8" s="12">
        <f>SUM(D10:D19)</f>
        <v>12936647345</v>
      </c>
      <c r="E8" s="13">
        <f>10244/3</f>
        <v>3414.6666666666665</v>
      </c>
      <c r="G8" s="11" t="s">
        <v>13</v>
      </c>
      <c r="H8" s="11">
        <f>SUM(H10:H19)</f>
        <v>634</v>
      </c>
      <c r="I8" s="11">
        <f>SUM(I10:I19)</f>
        <v>12023</v>
      </c>
      <c r="J8" s="12">
        <f>SUM(J10:J19)</f>
        <v>257488274</v>
      </c>
      <c r="K8" s="13">
        <f>21467/3</f>
        <v>7155.666666666667</v>
      </c>
    </row>
    <row r="10" spans="1:11" x14ac:dyDescent="0.25">
      <c r="A10" s="2" t="s">
        <v>14</v>
      </c>
      <c r="B10" s="2">
        <v>11113</v>
      </c>
      <c r="C10" s="2">
        <v>0</v>
      </c>
      <c r="D10" s="2">
        <v>46988621</v>
      </c>
      <c r="E10" s="2">
        <f>10292/3</f>
        <v>3430.6666666666665</v>
      </c>
      <c r="G10" s="2" t="s">
        <v>14</v>
      </c>
      <c r="H10" s="2">
        <v>81</v>
      </c>
      <c r="I10" s="2">
        <v>0</v>
      </c>
      <c r="J10" s="2">
        <v>959031</v>
      </c>
      <c r="K10" s="2">
        <f>18443/3</f>
        <v>6147.666666666667</v>
      </c>
    </row>
    <row r="11" spans="1:11" x14ac:dyDescent="0.25">
      <c r="A11" s="2" t="s">
        <v>15</v>
      </c>
      <c r="B11" s="2">
        <v>38421</v>
      </c>
      <c r="C11" s="2">
        <v>72407</v>
      </c>
      <c r="D11" s="2">
        <v>750224108</v>
      </c>
      <c r="E11" s="2">
        <f>11285/3</f>
        <v>3761.6666666666665</v>
      </c>
      <c r="G11" s="2" t="s">
        <v>15</v>
      </c>
      <c r="H11" s="2">
        <v>267</v>
      </c>
      <c r="I11" s="2">
        <v>478</v>
      </c>
      <c r="J11" s="2">
        <v>7080276</v>
      </c>
      <c r="K11" s="2">
        <f>14927/3</f>
        <v>4975.666666666667</v>
      </c>
    </row>
    <row r="12" spans="1:11" x14ac:dyDescent="0.25">
      <c r="A12" s="2" t="s">
        <v>16</v>
      </c>
      <c r="B12" s="2">
        <v>13853</v>
      </c>
      <c r="C12" s="2">
        <v>92490</v>
      </c>
      <c r="D12" s="2">
        <v>774176825</v>
      </c>
      <c r="E12" s="2">
        <f>10495/3</f>
        <v>3498.3333333333335</v>
      </c>
      <c r="G12" s="2" t="s">
        <v>16</v>
      </c>
      <c r="H12" s="2">
        <v>89</v>
      </c>
      <c r="I12" s="2">
        <v>605</v>
      </c>
      <c r="J12" s="2">
        <v>8655358</v>
      </c>
      <c r="K12" s="2">
        <f>14555/3</f>
        <v>4851.666666666667</v>
      </c>
    </row>
    <row r="13" spans="1:11" x14ac:dyDescent="0.25">
      <c r="A13" s="23" t="s">
        <v>49</v>
      </c>
      <c r="B13" s="2">
        <v>10008</v>
      </c>
      <c r="C13" s="2">
        <v>136193</v>
      </c>
      <c r="D13" s="2">
        <v>1119243246</v>
      </c>
      <c r="E13" s="2">
        <f>8527/3</f>
        <v>2842.3333333333335</v>
      </c>
      <c r="G13" s="23" t="s">
        <v>49</v>
      </c>
      <c r="H13" s="2">
        <v>74</v>
      </c>
      <c r="I13" s="2">
        <v>1048</v>
      </c>
      <c r="J13" s="2">
        <v>19120562</v>
      </c>
      <c r="K13" s="2">
        <f>17288/3</f>
        <v>5762.666666666667</v>
      </c>
    </row>
    <row r="14" spans="1:11" x14ac:dyDescent="0.25">
      <c r="A14" s="2" t="s">
        <v>17</v>
      </c>
      <c r="B14" s="2">
        <v>6937</v>
      </c>
      <c r="C14" s="2">
        <v>209999</v>
      </c>
      <c r="D14" s="2">
        <v>1905679464</v>
      </c>
      <c r="E14" s="2">
        <f>8349/3</f>
        <v>2783</v>
      </c>
      <c r="G14" s="2" t="s">
        <v>17</v>
      </c>
      <c r="H14" s="2">
        <v>76</v>
      </c>
      <c r="I14" s="2">
        <v>2309</v>
      </c>
      <c r="J14" s="2">
        <v>43671624</v>
      </c>
      <c r="K14" s="2">
        <f>19062/3</f>
        <v>6354</v>
      </c>
    </row>
    <row r="15" spans="1:11" x14ac:dyDescent="0.25">
      <c r="A15" s="2" t="s">
        <v>18</v>
      </c>
      <c r="B15" s="2">
        <v>2740</v>
      </c>
      <c r="C15" s="2">
        <v>188742</v>
      </c>
      <c r="D15" s="2">
        <v>1803122092</v>
      </c>
      <c r="E15" s="2">
        <f>9178/3</f>
        <v>3059.3333333333335</v>
      </c>
      <c r="G15" s="2" t="s">
        <v>18</v>
      </c>
      <c r="H15" s="2">
        <v>26</v>
      </c>
      <c r="I15" s="2">
        <v>1755</v>
      </c>
      <c r="J15" s="2">
        <v>36650631</v>
      </c>
      <c r="K15" s="2">
        <f>21467/3</f>
        <v>7155.666666666667</v>
      </c>
    </row>
    <row r="16" spans="1:11" x14ac:dyDescent="0.25">
      <c r="A16" s="2" t="s">
        <v>19</v>
      </c>
      <c r="B16" s="2">
        <v>1297</v>
      </c>
      <c r="C16" s="2">
        <v>193557</v>
      </c>
      <c r="D16" s="2">
        <v>2038100897</v>
      </c>
      <c r="E16" s="2">
        <f>9647/3</f>
        <v>3215.6666666666665</v>
      </c>
      <c r="G16" s="2" t="s">
        <v>19</v>
      </c>
      <c r="H16" s="2">
        <v>12</v>
      </c>
      <c r="I16" s="2">
        <v>1716</v>
      </c>
      <c r="J16" s="2">
        <v>36620615</v>
      </c>
      <c r="K16" s="2">
        <f>22025/3</f>
        <v>7341.666666666667</v>
      </c>
    </row>
    <row r="17" spans="1:11" x14ac:dyDescent="0.25">
      <c r="A17" s="2" t="s">
        <v>20</v>
      </c>
      <c r="B17" s="2">
        <v>344</v>
      </c>
      <c r="C17" s="2">
        <v>118800</v>
      </c>
      <c r="D17" s="2">
        <v>1400373314</v>
      </c>
      <c r="E17" s="2">
        <f>10621/3</f>
        <v>3540.3333333333335</v>
      </c>
      <c r="G17" s="2" t="s">
        <v>21</v>
      </c>
      <c r="H17" s="2">
        <v>9</v>
      </c>
      <c r="I17" s="2">
        <f>2399+627+1086</f>
        <v>4112</v>
      </c>
      <c r="J17" s="2">
        <f>51524820+23588497+29616860</f>
        <v>104730177</v>
      </c>
      <c r="K17" s="6">
        <f>J17/12319</f>
        <v>8501.5161133208858</v>
      </c>
    </row>
    <row r="18" spans="1:11" x14ac:dyDescent="0.25">
      <c r="A18" s="2" t="s">
        <v>22</v>
      </c>
      <c r="B18" s="2">
        <v>141</v>
      </c>
      <c r="C18" s="2">
        <v>95228</v>
      </c>
      <c r="D18" s="2">
        <v>1199976458</v>
      </c>
      <c r="E18" s="2">
        <f>11876/3</f>
        <v>3958.6666666666665</v>
      </c>
    </row>
    <row r="19" spans="1:11" x14ac:dyDescent="0.25">
      <c r="A19" s="2" t="s">
        <v>50</v>
      </c>
      <c r="B19" s="2">
        <v>61</v>
      </c>
      <c r="C19" s="2">
        <v>163943</v>
      </c>
      <c r="D19" s="2">
        <v>1898762320</v>
      </c>
      <c r="E19" s="2">
        <f>12710/3</f>
        <v>4236.666666666667</v>
      </c>
    </row>
    <row r="21" spans="1:11" x14ac:dyDescent="0.25">
      <c r="A21" s="30" t="s">
        <v>24</v>
      </c>
      <c r="B21" s="30"/>
      <c r="C21" s="30"/>
      <c r="D21" s="30"/>
      <c r="E21" s="30"/>
      <c r="F21" s="10"/>
      <c r="G21" s="30" t="s">
        <v>57</v>
      </c>
      <c r="H21" s="30"/>
      <c r="I21" s="30"/>
      <c r="J21" s="30"/>
      <c r="K21" s="30"/>
    </row>
    <row r="22" spans="1:11" x14ac:dyDescent="0.25">
      <c r="A22" s="8"/>
      <c r="B22" s="8"/>
      <c r="C22" s="7"/>
      <c r="D22" s="7" t="s">
        <v>1</v>
      </c>
      <c r="E22" s="7" t="s">
        <v>2</v>
      </c>
      <c r="F22" s="8"/>
      <c r="G22" s="8"/>
      <c r="H22" s="7"/>
      <c r="I22" s="7"/>
      <c r="J22" s="7" t="s">
        <v>1</v>
      </c>
      <c r="K22" s="7" t="s">
        <v>2</v>
      </c>
    </row>
    <row r="23" spans="1:11" x14ac:dyDescent="0.25">
      <c r="A23" s="9" t="s">
        <v>3</v>
      </c>
      <c r="B23" s="8" t="s">
        <v>4</v>
      </c>
      <c r="C23" s="7" t="s">
        <v>5</v>
      </c>
      <c r="D23" s="7" t="s">
        <v>6</v>
      </c>
      <c r="E23" s="7" t="s">
        <v>7</v>
      </c>
      <c r="F23" s="8"/>
      <c r="G23" s="9" t="s">
        <v>3</v>
      </c>
      <c r="H23" s="7" t="s">
        <v>4</v>
      </c>
      <c r="I23" s="7" t="s">
        <v>5</v>
      </c>
      <c r="J23" s="7" t="s">
        <v>6</v>
      </c>
      <c r="K23" s="7" t="s">
        <v>7</v>
      </c>
    </row>
    <row r="24" spans="1:11" ht="13.8" thickBot="1" x14ac:dyDescent="0.3">
      <c r="A24" s="14" t="s">
        <v>8</v>
      </c>
      <c r="B24" s="16" t="s">
        <v>9</v>
      </c>
      <c r="C24" s="15" t="s">
        <v>10</v>
      </c>
      <c r="D24" s="15" t="s">
        <v>11</v>
      </c>
      <c r="E24" s="15" t="s">
        <v>12</v>
      </c>
      <c r="F24" s="16"/>
      <c r="G24" s="14" t="s">
        <v>8</v>
      </c>
      <c r="H24" s="15" t="s">
        <v>9</v>
      </c>
      <c r="I24" s="15" t="s">
        <v>10</v>
      </c>
      <c r="J24" s="15" t="s">
        <v>11</v>
      </c>
      <c r="K24" s="15" t="s">
        <v>12</v>
      </c>
    </row>
    <row r="25" spans="1:11" ht="13.8" thickTop="1" x14ac:dyDescent="0.25"/>
    <row r="26" spans="1:11" s="11" customFormat="1" x14ac:dyDescent="0.25">
      <c r="A26" s="11" t="s">
        <v>25</v>
      </c>
      <c r="B26" s="11">
        <f>SUM(B28:B36)</f>
        <v>209</v>
      </c>
      <c r="C26" s="11">
        <f>SUM(C28:C36)</f>
        <v>3918</v>
      </c>
      <c r="D26" s="12">
        <f>SUM(D28:D36)</f>
        <v>75958477</v>
      </c>
      <c r="E26" s="12">
        <f>19380/3</f>
        <v>6460</v>
      </c>
      <c r="G26" s="11" t="s">
        <v>13</v>
      </c>
      <c r="H26" s="11">
        <f>SUM(H28:H36)</f>
        <v>9309</v>
      </c>
      <c r="I26" s="11">
        <f>SUM(I28:I36)</f>
        <v>68719</v>
      </c>
      <c r="J26" s="11">
        <f>SUM(J28:J36)</f>
        <v>671643661</v>
      </c>
      <c r="K26" s="13">
        <f>10300/3</f>
        <v>3433.3333333333335</v>
      </c>
    </row>
    <row r="27" spans="1:11" x14ac:dyDescent="0.25">
      <c r="A27" s="2" t="s">
        <v>26</v>
      </c>
      <c r="B27" s="2" t="s">
        <v>26</v>
      </c>
    </row>
    <row r="28" spans="1:11" x14ac:dyDescent="0.25">
      <c r="A28" s="2" t="s">
        <v>14</v>
      </c>
      <c r="B28" s="2">
        <v>8</v>
      </c>
      <c r="C28" s="2">
        <v>0</v>
      </c>
      <c r="D28" s="2">
        <v>26967</v>
      </c>
      <c r="E28" s="2">
        <f>5393/3</f>
        <v>1797.6666666666667</v>
      </c>
      <c r="G28" s="2" t="s">
        <v>14</v>
      </c>
      <c r="H28" s="2">
        <v>1901</v>
      </c>
      <c r="I28" s="2">
        <v>0</v>
      </c>
      <c r="J28" s="2">
        <v>3917075</v>
      </c>
      <c r="K28" s="2">
        <f>7547/3</f>
        <v>2515.6666666666665</v>
      </c>
    </row>
    <row r="29" spans="1:11" x14ac:dyDescent="0.25">
      <c r="A29" s="2" t="s">
        <v>15</v>
      </c>
      <c r="B29" s="2">
        <v>109</v>
      </c>
      <c r="C29" s="2">
        <v>229</v>
      </c>
      <c r="D29" s="2">
        <v>2631633</v>
      </c>
      <c r="E29" s="2">
        <f>11644/3</f>
        <v>3881.3333333333335</v>
      </c>
      <c r="G29" s="2" t="s">
        <v>15</v>
      </c>
      <c r="H29" s="2">
        <v>4477</v>
      </c>
      <c r="I29" s="2">
        <v>8965</v>
      </c>
      <c r="J29" s="2">
        <v>65794320</v>
      </c>
      <c r="K29" s="2">
        <f>7526/3</f>
        <v>2508.6666666666665</v>
      </c>
    </row>
    <row r="30" spans="1:11" x14ac:dyDescent="0.25">
      <c r="A30" s="2" t="s">
        <v>16</v>
      </c>
      <c r="B30" s="2">
        <v>27</v>
      </c>
      <c r="C30" s="2">
        <v>184</v>
      </c>
      <c r="D30" s="2">
        <v>2756412</v>
      </c>
      <c r="E30" s="2">
        <f>15342/3</f>
        <v>5114</v>
      </c>
      <c r="G30" s="2" t="s">
        <v>16</v>
      </c>
      <c r="H30" s="2">
        <v>1449</v>
      </c>
      <c r="I30" s="2">
        <v>9483</v>
      </c>
      <c r="J30" s="2">
        <v>70301728</v>
      </c>
      <c r="K30" s="2">
        <f>7765/3</f>
        <v>2588.3333333333335</v>
      </c>
    </row>
    <row r="31" spans="1:11" x14ac:dyDescent="0.25">
      <c r="A31" s="23" t="s">
        <v>49</v>
      </c>
      <c r="B31" s="2">
        <v>24</v>
      </c>
      <c r="C31" s="2">
        <v>330</v>
      </c>
      <c r="D31" s="2">
        <v>5726249</v>
      </c>
      <c r="E31" s="2">
        <f>18632/3</f>
        <v>6210.666666666667</v>
      </c>
      <c r="G31" s="23" t="s">
        <v>49</v>
      </c>
      <c r="H31" s="2">
        <v>805</v>
      </c>
      <c r="I31" s="2">
        <v>10772</v>
      </c>
      <c r="J31" s="2">
        <v>94056399</v>
      </c>
      <c r="K31" s="2">
        <f>9042/3</f>
        <v>3014</v>
      </c>
    </row>
    <row r="32" spans="1:11" x14ac:dyDescent="0.25">
      <c r="A32" s="2" t="s">
        <v>17</v>
      </c>
      <c r="B32" s="2">
        <v>23</v>
      </c>
      <c r="C32" s="2">
        <v>660</v>
      </c>
      <c r="D32" s="2">
        <v>14872628</v>
      </c>
      <c r="E32" s="2">
        <f>22354/3</f>
        <v>7451.333333333333</v>
      </c>
      <c r="G32" s="2" t="s">
        <v>17</v>
      </c>
      <c r="H32" s="2">
        <v>479</v>
      </c>
      <c r="I32" s="2">
        <v>14431</v>
      </c>
      <c r="J32" s="2">
        <v>152148438</v>
      </c>
      <c r="K32" s="2">
        <f>10760/3</f>
        <v>3586.6666666666665</v>
      </c>
    </row>
    <row r="33" spans="1:11" x14ac:dyDescent="0.25">
      <c r="A33" s="2" t="s">
        <v>18</v>
      </c>
      <c r="B33" s="2">
        <v>9</v>
      </c>
      <c r="C33" s="2">
        <v>627</v>
      </c>
      <c r="D33" s="2">
        <v>12933271</v>
      </c>
      <c r="E33" s="2">
        <f>20357/3</f>
        <v>6785.666666666667</v>
      </c>
      <c r="G33" s="2" t="s">
        <v>18</v>
      </c>
      <c r="H33" s="2">
        <v>129</v>
      </c>
      <c r="I33" s="2">
        <v>8881</v>
      </c>
      <c r="J33" s="2">
        <v>102563992</v>
      </c>
      <c r="K33" s="2">
        <f>11973/3</f>
        <v>3991</v>
      </c>
    </row>
    <row r="34" spans="1:11" x14ac:dyDescent="0.25">
      <c r="A34" s="2" t="s">
        <v>31</v>
      </c>
      <c r="B34" s="2">
        <v>9</v>
      </c>
      <c r="C34" s="2">
        <f>985+903</f>
        <v>1888</v>
      </c>
      <c r="D34" s="2">
        <f>18350230+18661087</f>
        <v>37011317</v>
      </c>
      <c r="E34" s="4">
        <f>D34/5702</f>
        <v>6490.9359873728517</v>
      </c>
      <c r="G34" s="2" t="s">
        <v>19</v>
      </c>
      <c r="H34" s="2">
        <v>53</v>
      </c>
      <c r="I34" s="2">
        <v>7847</v>
      </c>
      <c r="J34" s="2">
        <v>105082765</v>
      </c>
      <c r="K34" s="2">
        <f>13664/3</f>
        <v>4554.666666666667</v>
      </c>
    </row>
    <row r="35" spans="1:11" x14ac:dyDescent="0.25">
      <c r="G35" s="2" t="s">
        <v>20</v>
      </c>
      <c r="H35" s="2">
        <v>12</v>
      </c>
      <c r="I35" s="2">
        <v>3638</v>
      </c>
      <c r="J35" s="2">
        <v>53111627</v>
      </c>
      <c r="K35" s="2">
        <f>15632/3</f>
        <v>5210.666666666667</v>
      </c>
    </row>
    <row r="36" spans="1:11" x14ac:dyDescent="0.25">
      <c r="G36" s="2" t="s">
        <v>27</v>
      </c>
      <c r="H36" s="2">
        <f>2+2</f>
        <v>4</v>
      </c>
      <c r="I36" s="2">
        <f>1398+3304</f>
        <v>4702</v>
      </c>
      <c r="J36" s="2">
        <f>3571293+21096024</f>
        <v>24667317</v>
      </c>
      <c r="K36" s="6">
        <f>J36/13908</f>
        <v>1773.6063416738568</v>
      </c>
    </row>
    <row r="38" spans="1:11" x14ac:dyDescent="0.25">
      <c r="A38" s="30" t="s">
        <v>58</v>
      </c>
      <c r="B38" s="30"/>
      <c r="C38" s="30"/>
      <c r="D38" s="30"/>
      <c r="E38" s="30"/>
      <c r="F38" s="10"/>
      <c r="G38" s="30" t="s">
        <v>59</v>
      </c>
      <c r="H38" s="30"/>
      <c r="I38" s="30"/>
      <c r="J38" s="30"/>
      <c r="K38" s="30"/>
    </row>
    <row r="39" spans="1:11" x14ac:dyDescent="0.25">
      <c r="A39" s="7"/>
      <c r="B39" s="7"/>
      <c r="C39" s="7"/>
      <c r="D39" s="7" t="s">
        <v>1</v>
      </c>
      <c r="E39" s="7" t="s">
        <v>2</v>
      </c>
      <c r="F39" s="8"/>
      <c r="G39" s="7"/>
      <c r="H39" s="7"/>
      <c r="I39" s="7"/>
      <c r="J39" s="7" t="s">
        <v>1</v>
      </c>
      <c r="K39" s="7" t="s">
        <v>2</v>
      </c>
    </row>
    <row r="40" spans="1:11" x14ac:dyDescent="0.25">
      <c r="A40" s="9" t="s">
        <v>3</v>
      </c>
      <c r="B40" s="7" t="s">
        <v>4</v>
      </c>
      <c r="C40" s="7" t="s">
        <v>5</v>
      </c>
      <c r="D40" s="7" t="s">
        <v>6</v>
      </c>
      <c r="E40" s="7" t="s">
        <v>7</v>
      </c>
      <c r="F40" s="8"/>
      <c r="G40" s="9" t="s">
        <v>3</v>
      </c>
      <c r="H40" s="7" t="s">
        <v>4</v>
      </c>
      <c r="I40" s="7" t="s">
        <v>5</v>
      </c>
      <c r="J40" s="7" t="s">
        <v>6</v>
      </c>
      <c r="K40" s="7" t="s">
        <v>7</v>
      </c>
    </row>
    <row r="41" spans="1:11" ht="13.8" thickBot="1" x14ac:dyDescent="0.3">
      <c r="A41" s="14" t="s">
        <v>8</v>
      </c>
      <c r="B41" s="15" t="s">
        <v>9</v>
      </c>
      <c r="C41" s="15" t="s">
        <v>10</v>
      </c>
      <c r="D41" s="15" t="s">
        <v>11</v>
      </c>
      <c r="E41" s="15" t="s">
        <v>12</v>
      </c>
      <c r="F41" s="16"/>
      <c r="G41" s="14" t="s">
        <v>8</v>
      </c>
      <c r="H41" s="15" t="s">
        <v>9</v>
      </c>
      <c r="I41" s="15" t="s">
        <v>10</v>
      </c>
      <c r="J41" s="15" t="s">
        <v>11</v>
      </c>
      <c r="K41" s="15" t="s">
        <v>12</v>
      </c>
    </row>
    <row r="42" spans="1:11" ht="13.8" thickTop="1" x14ac:dyDescent="0.25"/>
    <row r="43" spans="1:11" s="11" customFormat="1" x14ac:dyDescent="0.25">
      <c r="A43" s="11" t="s">
        <v>25</v>
      </c>
      <c r="B43" s="11">
        <f>SUM(B44:B54)</f>
        <v>3706</v>
      </c>
      <c r="C43" s="11">
        <f>SUM(C44:C54)</f>
        <v>117736</v>
      </c>
      <c r="D43" s="12">
        <f>SUM(D44:D54)</f>
        <v>1528221941</v>
      </c>
      <c r="E43" s="13">
        <f>13010/3</f>
        <v>4336.666666666667</v>
      </c>
      <c r="G43" s="11" t="s">
        <v>25</v>
      </c>
      <c r="H43" s="11">
        <f>SUM(H44:H54)</f>
        <v>14824</v>
      </c>
      <c r="I43" s="11">
        <f>SUM(I44:I54)</f>
        <v>190897</v>
      </c>
      <c r="J43" s="12">
        <f>SUM(J44:J54)</f>
        <v>1715657880</v>
      </c>
      <c r="K43" s="11">
        <f>9005/3</f>
        <v>3001.6666666666665</v>
      </c>
    </row>
    <row r="44" spans="1:11" x14ac:dyDescent="0.25">
      <c r="G44" s="2" t="s">
        <v>26</v>
      </c>
    </row>
    <row r="45" spans="1:11" x14ac:dyDescent="0.25">
      <c r="A45" s="2" t="s">
        <v>14</v>
      </c>
      <c r="B45" s="2">
        <v>303</v>
      </c>
      <c r="C45" s="2">
        <v>0</v>
      </c>
      <c r="D45" s="2">
        <v>3269208</v>
      </c>
      <c r="E45" s="2">
        <f>11260/3</f>
        <v>3753.3333333333335</v>
      </c>
      <c r="G45" s="2" t="s">
        <v>14</v>
      </c>
      <c r="H45" s="2">
        <f t="shared" ref="H45:J51" si="0">+B63+H63</f>
        <v>1308</v>
      </c>
      <c r="I45" s="2">
        <f t="shared" si="0"/>
        <v>0</v>
      </c>
      <c r="J45" s="2">
        <f t="shared" si="0"/>
        <v>6545352</v>
      </c>
      <c r="K45" s="2">
        <f>10921/3</f>
        <v>3640.3333333333335</v>
      </c>
    </row>
    <row r="46" spans="1:11" x14ac:dyDescent="0.25">
      <c r="A46" s="2" t="s">
        <v>15</v>
      </c>
      <c r="B46" s="2">
        <v>1226</v>
      </c>
      <c r="C46" s="2">
        <v>2563</v>
      </c>
      <c r="D46" s="2">
        <v>24660315</v>
      </c>
      <c r="E46" s="2">
        <f>9653/3</f>
        <v>3217.6666666666665</v>
      </c>
      <c r="G46" s="2" t="s">
        <v>15</v>
      </c>
      <c r="H46" s="2">
        <f t="shared" si="0"/>
        <v>6171</v>
      </c>
      <c r="I46" s="2">
        <f t="shared" si="0"/>
        <v>12160</v>
      </c>
      <c r="J46" s="2">
        <f t="shared" si="0"/>
        <v>152604365</v>
      </c>
      <c r="K46" s="2">
        <f>12623/3</f>
        <v>4207.666666666667</v>
      </c>
    </row>
    <row r="47" spans="1:11" x14ac:dyDescent="0.25">
      <c r="A47" s="2" t="s">
        <v>16</v>
      </c>
      <c r="B47" s="2">
        <v>659</v>
      </c>
      <c r="C47" s="2">
        <v>4403</v>
      </c>
      <c r="D47" s="2">
        <v>35680352</v>
      </c>
      <c r="E47" s="2">
        <f>8138/3</f>
        <v>2712.6666666666665</v>
      </c>
      <c r="G47" s="2" t="s">
        <v>16</v>
      </c>
      <c r="H47" s="2">
        <f t="shared" si="0"/>
        <v>2998</v>
      </c>
      <c r="I47" s="2">
        <f t="shared" si="0"/>
        <v>20214</v>
      </c>
      <c r="J47" s="2">
        <f t="shared" si="0"/>
        <v>170802829</v>
      </c>
      <c r="K47" s="2">
        <f>8541/3</f>
        <v>2847</v>
      </c>
    </row>
    <row r="48" spans="1:11" x14ac:dyDescent="0.25">
      <c r="A48" s="23" t="s">
        <v>49</v>
      </c>
      <c r="B48" s="2">
        <v>575</v>
      </c>
      <c r="C48" s="2">
        <v>7955</v>
      </c>
      <c r="D48" s="2">
        <v>66821597</v>
      </c>
      <c r="E48" s="2">
        <f>8538/3</f>
        <v>2846</v>
      </c>
      <c r="G48" s="23" t="s">
        <v>49</v>
      </c>
      <c r="H48" s="2">
        <f t="shared" si="0"/>
        <v>2419</v>
      </c>
      <c r="I48" s="2">
        <f t="shared" si="0"/>
        <v>32728</v>
      </c>
      <c r="J48" s="2">
        <f t="shared" si="0"/>
        <v>257153998</v>
      </c>
      <c r="K48" s="2">
        <f>7897/3</f>
        <v>2632.3333333333335</v>
      </c>
    </row>
    <row r="49" spans="1:14" x14ac:dyDescent="0.25">
      <c r="A49" s="2" t="s">
        <v>17</v>
      </c>
      <c r="B49" s="2">
        <v>514</v>
      </c>
      <c r="C49" s="2">
        <v>16081</v>
      </c>
      <c r="D49" s="2">
        <v>167343025</v>
      </c>
      <c r="E49" s="2">
        <f>10494/3</f>
        <v>3498</v>
      </c>
      <c r="G49" s="2" t="s">
        <v>17</v>
      </c>
      <c r="H49" s="2">
        <f t="shared" si="0"/>
        <v>1203</v>
      </c>
      <c r="I49" s="2">
        <f t="shared" si="0"/>
        <v>35789</v>
      </c>
      <c r="J49" s="2">
        <f t="shared" si="0"/>
        <v>308366021</v>
      </c>
      <c r="K49" s="2">
        <f>8656/3</f>
        <v>2885.3333333333335</v>
      </c>
    </row>
    <row r="50" spans="1:14" x14ac:dyDescent="0.25">
      <c r="A50" s="2" t="s">
        <v>18</v>
      </c>
      <c r="B50" s="2">
        <v>214</v>
      </c>
      <c r="C50" s="2">
        <v>15137</v>
      </c>
      <c r="D50" s="2">
        <v>172569700</v>
      </c>
      <c r="E50" s="2">
        <f>11503/3</f>
        <v>3834.3333333333335</v>
      </c>
      <c r="G50" s="2" t="s">
        <v>18</v>
      </c>
      <c r="H50" s="2">
        <f t="shared" si="0"/>
        <v>390</v>
      </c>
      <c r="I50" s="2">
        <f t="shared" si="0"/>
        <v>27148</v>
      </c>
      <c r="J50" s="2">
        <f t="shared" si="0"/>
        <v>229848282</v>
      </c>
      <c r="K50" s="2">
        <f>8468/3</f>
        <v>2822.6666666666665</v>
      </c>
    </row>
    <row r="51" spans="1:14" x14ac:dyDescent="0.25">
      <c r="A51" s="2" t="s">
        <v>19</v>
      </c>
      <c r="B51" s="2">
        <v>125</v>
      </c>
      <c r="C51" s="2">
        <v>19831</v>
      </c>
      <c r="D51" s="2">
        <v>266617231</v>
      </c>
      <c r="E51" s="2">
        <f>13595/3</f>
        <v>4531.666666666667</v>
      </c>
      <c r="G51" s="2" t="s">
        <v>19</v>
      </c>
      <c r="H51" s="2">
        <f t="shared" si="0"/>
        <v>274</v>
      </c>
      <c r="I51" s="2">
        <f t="shared" si="0"/>
        <v>39499</v>
      </c>
      <c r="J51" s="2">
        <f t="shared" si="0"/>
        <v>331288326</v>
      </c>
      <c r="K51" s="2">
        <f>8445/3</f>
        <v>2815</v>
      </c>
    </row>
    <row r="52" spans="1:14" x14ac:dyDescent="0.25">
      <c r="A52" s="2" t="s">
        <v>20</v>
      </c>
      <c r="B52" s="2">
        <v>59</v>
      </c>
      <c r="C52" s="2">
        <v>20206</v>
      </c>
      <c r="D52" s="2">
        <v>313915920</v>
      </c>
      <c r="E52" s="2">
        <f>15539/3</f>
        <v>5179.666666666667</v>
      </c>
      <c r="G52" s="2" t="s">
        <v>20</v>
      </c>
      <c r="H52" s="2">
        <f>47+10</f>
        <v>57</v>
      </c>
      <c r="I52" s="2">
        <v>19360</v>
      </c>
      <c r="J52" s="2">
        <v>188248891</v>
      </c>
      <c r="K52" s="2">
        <f>9755/3</f>
        <v>3251.6666666666665</v>
      </c>
      <c r="M52" s="3"/>
      <c r="N52" s="3"/>
    </row>
    <row r="53" spans="1:14" x14ac:dyDescent="0.25">
      <c r="A53" s="2" t="s">
        <v>22</v>
      </c>
      <c r="B53" s="2">
        <v>22</v>
      </c>
      <c r="C53" s="2">
        <v>15616</v>
      </c>
      <c r="D53" s="2">
        <v>246651463</v>
      </c>
      <c r="E53" s="2">
        <f>15764/3</f>
        <v>5254.666666666667</v>
      </c>
      <c r="G53" s="2" t="s">
        <v>27</v>
      </c>
      <c r="H53" s="2">
        <v>4</v>
      </c>
      <c r="I53" s="2">
        <f>2201+1798</f>
        <v>3999</v>
      </c>
      <c r="J53" s="2">
        <f>34920242+35879574</f>
        <v>70799816</v>
      </c>
      <c r="K53" s="4">
        <f>J53/11946</f>
        <v>5926.6546124225679</v>
      </c>
      <c r="M53" s="3"/>
      <c r="N53" s="3"/>
    </row>
    <row r="54" spans="1:14" x14ac:dyDescent="0.25">
      <c r="A54" s="2" t="s">
        <v>23</v>
      </c>
      <c r="B54" s="2">
        <v>9</v>
      </c>
      <c r="C54" s="2">
        <v>15944</v>
      </c>
      <c r="D54" s="2">
        <v>230693130</v>
      </c>
      <c r="E54" s="2">
        <f>14417/3</f>
        <v>4805.666666666667</v>
      </c>
      <c r="G54" s="2" t="s">
        <v>28</v>
      </c>
    </row>
    <row r="56" spans="1:14" x14ac:dyDescent="0.25">
      <c r="A56" s="30" t="s">
        <v>62</v>
      </c>
      <c r="B56" s="30"/>
      <c r="C56" s="30"/>
      <c r="D56" s="30"/>
      <c r="E56" s="30"/>
      <c r="F56" s="10"/>
      <c r="G56" s="30" t="s">
        <v>63</v>
      </c>
      <c r="H56" s="30"/>
      <c r="I56" s="30"/>
      <c r="J56" s="30"/>
      <c r="K56" s="30"/>
    </row>
    <row r="57" spans="1:14" x14ac:dyDescent="0.25">
      <c r="A57" s="17"/>
      <c r="B57" s="17"/>
      <c r="C57" s="17"/>
      <c r="D57" s="17" t="s">
        <v>1</v>
      </c>
      <c r="E57" s="17" t="s">
        <v>2</v>
      </c>
      <c r="F57" s="18"/>
      <c r="G57" s="17"/>
      <c r="H57" s="17"/>
      <c r="I57" s="17"/>
      <c r="J57" s="17" t="s">
        <v>1</v>
      </c>
      <c r="K57" s="17" t="s">
        <v>2</v>
      </c>
    </row>
    <row r="58" spans="1:14" x14ac:dyDescent="0.25">
      <c r="A58" s="19" t="s">
        <v>3</v>
      </c>
      <c r="B58" s="17" t="s">
        <v>4</v>
      </c>
      <c r="C58" s="17" t="s">
        <v>5</v>
      </c>
      <c r="D58" s="17" t="s">
        <v>6</v>
      </c>
      <c r="E58" s="17" t="s">
        <v>7</v>
      </c>
      <c r="F58" s="18"/>
      <c r="G58" s="19" t="s">
        <v>3</v>
      </c>
      <c r="H58" s="17" t="s">
        <v>4</v>
      </c>
      <c r="I58" s="17" t="s">
        <v>5</v>
      </c>
      <c r="J58" s="17" t="s">
        <v>6</v>
      </c>
      <c r="K58" s="17" t="s">
        <v>7</v>
      </c>
    </row>
    <row r="59" spans="1:14" ht="13.8" thickBot="1" x14ac:dyDescent="0.3">
      <c r="A59" s="14" t="s">
        <v>8</v>
      </c>
      <c r="B59" s="15" t="s">
        <v>9</v>
      </c>
      <c r="C59" s="15" t="s">
        <v>10</v>
      </c>
      <c r="D59" s="15" t="s">
        <v>11</v>
      </c>
      <c r="E59" s="15" t="s">
        <v>12</v>
      </c>
      <c r="F59" s="16"/>
      <c r="G59" s="14" t="s">
        <v>8</v>
      </c>
      <c r="H59" s="15" t="s">
        <v>9</v>
      </c>
      <c r="I59" s="15" t="s">
        <v>10</v>
      </c>
      <c r="J59" s="15" t="s">
        <v>11</v>
      </c>
      <c r="K59" s="15" t="s">
        <v>12</v>
      </c>
    </row>
    <row r="60" spans="1:14" ht="13.8" thickTop="1" x14ac:dyDescent="0.25"/>
    <row r="61" spans="1:14" s="11" customFormat="1" x14ac:dyDescent="0.25">
      <c r="A61" s="11" t="s">
        <v>25</v>
      </c>
      <c r="B61" s="11">
        <f>SUM(B63:B71)</f>
        <v>5786</v>
      </c>
      <c r="C61" s="11">
        <f>SUM(C63:C71)</f>
        <v>47686</v>
      </c>
      <c r="D61" s="12">
        <f>SUM(D63:D70)</f>
        <v>725283972</v>
      </c>
      <c r="E61" s="13">
        <f>15259/3</f>
        <v>5086.333333333333</v>
      </c>
      <c r="G61" s="11" t="s">
        <v>25</v>
      </c>
      <c r="H61" s="11">
        <f>SUM(H63:H71)</f>
        <v>9038</v>
      </c>
      <c r="I61" s="11">
        <f>SUM(I63:I71)</f>
        <v>143211</v>
      </c>
      <c r="J61" s="12">
        <f>SUM(J63:J71)</f>
        <v>990373908</v>
      </c>
      <c r="K61" s="12">
        <f>6926/3</f>
        <v>2308.6666666666665</v>
      </c>
    </row>
    <row r="62" spans="1:14" x14ac:dyDescent="0.25">
      <c r="A62" s="2" t="s">
        <v>26</v>
      </c>
      <c r="G62" s="2" t="s">
        <v>26</v>
      </c>
    </row>
    <row r="63" spans="1:14" x14ac:dyDescent="0.25">
      <c r="A63" s="2" t="s">
        <v>14</v>
      </c>
      <c r="B63" s="2">
        <v>606</v>
      </c>
      <c r="C63" s="2">
        <v>0</v>
      </c>
      <c r="D63" s="2">
        <v>3201873</v>
      </c>
      <c r="E63" s="2">
        <f>16090/3</f>
        <v>5363.333333333333</v>
      </c>
      <c r="G63" s="2" t="s">
        <v>14</v>
      </c>
      <c r="H63" s="2">
        <v>702</v>
      </c>
      <c r="I63" s="2">
        <v>0</v>
      </c>
      <c r="J63" s="2">
        <v>3343479</v>
      </c>
      <c r="K63" s="2">
        <f>8352/3</f>
        <v>2784</v>
      </c>
    </row>
    <row r="64" spans="1:14" x14ac:dyDescent="0.25">
      <c r="A64" s="2" t="s">
        <v>15</v>
      </c>
      <c r="B64" s="2">
        <v>3293</v>
      </c>
      <c r="C64" s="2">
        <v>5643</v>
      </c>
      <c r="D64" s="2">
        <v>109409119</v>
      </c>
      <c r="E64" s="2">
        <f>19641/3</f>
        <v>6547</v>
      </c>
      <c r="G64" s="2" t="s">
        <v>15</v>
      </c>
      <c r="H64" s="2">
        <v>2878</v>
      </c>
      <c r="I64" s="2">
        <v>6517</v>
      </c>
      <c r="J64" s="2">
        <v>43195246</v>
      </c>
      <c r="K64" s="2">
        <f>6626/3</f>
        <v>2208.6666666666665</v>
      </c>
    </row>
    <row r="65" spans="1:11" x14ac:dyDescent="0.25">
      <c r="A65" s="2" t="s">
        <v>16</v>
      </c>
      <c r="B65" s="2">
        <v>790</v>
      </c>
      <c r="C65" s="2">
        <v>5264</v>
      </c>
      <c r="D65" s="2">
        <v>85556900</v>
      </c>
      <c r="E65" s="2">
        <f>16478/3</f>
        <v>5492.666666666667</v>
      </c>
      <c r="G65" s="2" t="s">
        <v>16</v>
      </c>
      <c r="H65" s="2">
        <v>2208</v>
      </c>
      <c r="I65" s="2">
        <v>14950</v>
      </c>
      <c r="J65" s="2">
        <v>85245929</v>
      </c>
      <c r="K65" s="2">
        <f>5757/3</f>
        <v>1919</v>
      </c>
    </row>
    <row r="66" spans="1:11" x14ac:dyDescent="0.25">
      <c r="A66" s="23" t="s">
        <v>49</v>
      </c>
      <c r="B66" s="2">
        <v>568</v>
      </c>
      <c r="C66" s="2">
        <v>7734</v>
      </c>
      <c r="D66" s="2">
        <v>112518352</v>
      </c>
      <c r="E66" s="2">
        <f>14651/3</f>
        <v>4883.666666666667</v>
      </c>
      <c r="G66" s="23" t="s">
        <v>49</v>
      </c>
      <c r="H66" s="2">
        <v>1851</v>
      </c>
      <c r="I66" s="2">
        <v>24994</v>
      </c>
      <c r="J66" s="2">
        <v>144635646</v>
      </c>
      <c r="K66" s="2">
        <f>5813/3</f>
        <v>1937.6666666666667</v>
      </c>
    </row>
    <row r="67" spans="1:11" x14ac:dyDescent="0.25">
      <c r="A67" s="2" t="s">
        <v>17</v>
      </c>
      <c r="B67" s="2">
        <v>383</v>
      </c>
      <c r="C67" s="2">
        <v>11471</v>
      </c>
      <c r="D67" s="2">
        <v>161931381</v>
      </c>
      <c r="E67" s="2">
        <f>14243/3</f>
        <v>4747.666666666667</v>
      </c>
      <c r="G67" s="2" t="s">
        <v>17</v>
      </c>
      <c r="H67" s="2">
        <v>820</v>
      </c>
      <c r="I67" s="2">
        <v>24318</v>
      </c>
      <c r="J67" s="2">
        <v>146434640</v>
      </c>
      <c r="K67" s="2">
        <f>6037/3</f>
        <v>2012.3333333333333</v>
      </c>
    </row>
    <row r="68" spans="1:11" x14ac:dyDescent="0.25">
      <c r="A68" s="2" t="s">
        <v>18</v>
      </c>
      <c r="B68" s="2">
        <v>87</v>
      </c>
      <c r="C68" s="2">
        <v>5810</v>
      </c>
      <c r="D68" s="2">
        <v>82793161</v>
      </c>
      <c r="E68" s="2">
        <f>14312/3</f>
        <v>4770.666666666667</v>
      </c>
      <c r="G68" s="2" t="s">
        <v>18</v>
      </c>
      <c r="H68" s="2">
        <v>303</v>
      </c>
      <c r="I68" s="2">
        <v>21338</v>
      </c>
      <c r="J68" s="2">
        <v>147055121</v>
      </c>
      <c r="K68" s="2">
        <f>6886/3</f>
        <v>2295.3333333333335</v>
      </c>
    </row>
    <row r="69" spans="1:11" x14ac:dyDescent="0.25">
      <c r="A69" s="2" t="s">
        <v>19</v>
      </c>
      <c r="B69" s="2">
        <v>47</v>
      </c>
      <c r="C69" s="2">
        <v>6769</v>
      </c>
      <c r="D69" s="2">
        <v>86222100</v>
      </c>
      <c r="E69" s="2">
        <f>12806/3</f>
        <v>4268.666666666667</v>
      </c>
      <c r="G69" s="2" t="s">
        <v>19</v>
      </c>
      <c r="H69" s="2">
        <v>227</v>
      </c>
      <c r="I69" s="2">
        <v>32730</v>
      </c>
      <c r="J69" s="2">
        <v>245066226</v>
      </c>
      <c r="K69" s="2">
        <f>7541/3</f>
        <v>2513.6666666666665</v>
      </c>
    </row>
    <row r="70" spans="1:11" x14ac:dyDescent="0.25">
      <c r="A70" s="2" t="s">
        <v>21</v>
      </c>
      <c r="B70" s="2">
        <f>10+2</f>
        <v>12</v>
      </c>
      <c r="C70" s="2">
        <f>3672+1323</f>
        <v>4995</v>
      </c>
      <c r="D70" s="2">
        <f>67915077+15736009</f>
        <v>83651086</v>
      </c>
      <c r="E70" s="4">
        <f>D70/15008</f>
        <v>5573.7663912579956</v>
      </c>
      <c r="G70" s="2" t="s">
        <v>21</v>
      </c>
      <c r="H70" s="2">
        <f>47+2</f>
        <v>49</v>
      </c>
      <c r="I70" s="2">
        <f>15688+2676</f>
        <v>18364</v>
      </c>
      <c r="J70" s="2">
        <f>120333814+55063807</f>
        <v>175397621</v>
      </c>
      <c r="K70" s="4">
        <f>J70/54830</f>
        <v>3198.9352726609523</v>
      </c>
    </row>
    <row r="71" spans="1:11" x14ac:dyDescent="0.25">
      <c r="K71" s="4"/>
    </row>
    <row r="72" spans="1:11" x14ac:dyDescent="0.25">
      <c r="A72" s="30" t="s">
        <v>60</v>
      </c>
      <c r="B72" s="30"/>
      <c r="C72" s="30"/>
      <c r="D72" s="30"/>
      <c r="E72" s="30"/>
      <c r="F72" s="10"/>
      <c r="G72" s="30" t="s">
        <v>61</v>
      </c>
      <c r="H72" s="30"/>
      <c r="I72" s="30"/>
      <c r="J72" s="30"/>
      <c r="K72" s="30"/>
    </row>
    <row r="73" spans="1:11" x14ac:dyDescent="0.25">
      <c r="A73" s="17"/>
      <c r="B73" s="17"/>
      <c r="C73" s="17"/>
      <c r="D73" s="17" t="s">
        <v>1</v>
      </c>
      <c r="E73" s="17" t="s">
        <v>2</v>
      </c>
      <c r="F73" s="18"/>
      <c r="G73" s="17"/>
      <c r="H73" s="17"/>
      <c r="I73" s="17"/>
      <c r="J73" s="17" t="s">
        <v>1</v>
      </c>
      <c r="K73" s="17" t="s">
        <v>2</v>
      </c>
    </row>
    <row r="74" spans="1:11" x14ac:dyDescent="0.25">
      <c r="A74" s="19" t="s">
        <v>3</v>
      </c>
      <c r="B74" s="17" t="s">
        <v>4</v>
      </c>
      <c r="C74" s="17" t="s">
        <v>5</v>
      </c>
      <c r="D74" s="17" t="s">
        <v>6</v>
      </c>
      <c r="E74" s="17" t="s">
        <v>7</v>
      </c>
      <c r="F74" s="18"/>
      <c r="G74" s="19" t="s">
        <v>3</v>
      </c>
      <c r="H74" s="17" t="s">
        <v>4</v>
      </c>
      <c r="I74" s="17" t="s">
        <v>5</v>
      </c>
      <c r="J74" s="17" t="s">
        <v>6</v>
      </c>
      <c r="K74" s="17" t="s">
        <v>7</v>
      </c>
    </row>
    <row r="75" spans="1:11" ht="13.8" thickBot="1" x14ac:dyDescent="0.3">
      <c r="A75" s="14" t="s">
        <v>8</v>
      </c>
      <c r="B75" s="15" t="s">
        <v>9</v>
      </c>
      <c r="C75" s="15" t="s">
        <v>10</v>
      </c>
      <c r="D75" s="15" t="s">
        <v>11</v>
      </c>
      <c r="E75" s="15" t="s">
        <v>12</v>
      </c>
      <c r="F75" s="16"/>
      <c r="G75" s="14" t="s">
        <v>8</v>
      </c>
      <c r="H75" s="15" t="s">
        <v>9</v>
      </c>
      <c r="I75" s="15" t="s">
        <v>10</v>
      </c>
      <c r="J75" s="15" t="s">
        <v>11</v>
      </c>
      <c r="K75" s="15" t="s">
        <v>12</v>
      </c>
    </row>
    <row r="76" spans="1:11" ht="13.8" thickTop="1" x14ac:dyDescent="0.25"/>
    <row r="77" spans="1:11" s="11" customFormat="1" x14ac:dyDescent="0.25">
      <c r="A77" s="11" t="s">
        <v>25</v>
      </c>
      <c r="B77" s="11">
        <f>SUM(B79:B88)</f>
        <v>2384</v>
      </c>
      <c r="C77" s="11">
        <f>SUM(C79:C88)</f>
        <v>46316</v>
      </c>
      <c r="D77" s="12">
        <f>SUM(D79:D88)</f>
        <v>513716469</v>
      </c>
      <c r="E77" s="13">
        <f>11057/3</f>
        <v>3685.6666666666665</v>
      </c>
      <c r="G77" s="11" t="s">
        <v>25</v>
      </c>
      <c r="H77" s="11">
        <f>SUM(H79:H88)</f>
        <v>1822</v>
      </c>
      <c r="I77" s="11">
        <f>SUM(I79:I88)</f>
        <v>32098</v>
      </c>
      <c r="J77" s="12">
        <f>SUM(J79:J88)</f>
        <v>472134651</v>
      </c>
      <c r="K77" s="12">
        <f>14743/3</f>
        <v>4914.333333333333</v>
      </c>
    </row>
    <row r="78" spans="1:11" x14ac:dyDescent="0.25">
      <c r="A78" s="2" t="s">
        <v>26</v>
      </c>
      <c r="G78" s="2" t="s">
        <v>26</v>
      </c>
    </row>
    <row r="79" spans="1:11" x14ac:dyDescent="0.25">
      <c r="A79" s="2" t="s">
        <v>14</v>
      </c>
      <c r="B79" s="2">
        <v>301</v>
      </c>
      <c r="C79" s="2">
        <v>0</v>
      </c>
      <c r="D79" s="2">
        <v>668973</v>
      </c>
      <c r="E79" s="2">
        <f>8092/3</f>
        <v>2697.3333333333335</v>
      </c>
      <c r="G79" s="2" t="s">
        <v>14</v>
      </c>
      <c r="H79" s="2">
        <v>271</v>
      </c>
      <c r="I79" s="2">
        <v>0</v>
      </c>
      <c r="J79" s="2">
        <v>2050090</v>
      </c>
      <c r="K79" s="2">
        <f>10567/3</f>
        <v>3522.3333333333335</v>
      </c>
    </row>
    <row r="80" spans="1:11" x14ac:dyDescent="0.25">
      <c r="A80" s="2" t="s">
        <v>15</v>
      </c>
      <c r="B80" s="2">
        <v>1158</v>
      </c>
      <c r="C80" s="2">
        <v>2188</v>
      </c>
      <c r="D80" s="2">
        <v>18840718</v>
      </c>
      <c r="E80" s="2">
        <f>8696/3</f>
        <v>2898.6666666666665</v>
      </c>
      <c r="G80" s="2" t="s">
        <v>15</v>
      </c>
      <c r="H80" s="2">
        <v>853</v>
      </c>
      <c r="I80" s="2">
        <v>1432</v>
      </c>
      <c r="J80" s="2">
        <v>26380918</v>
      </c>
      <c r="K80" s="2">
        <f>18491/3</f>
        <v>6163.666666666667</v>
      </c>
    </row>
    <row r="81" spans="1:11" x14ac:dyDescent="0.25">
      <c r="A81" s="2" t="s">
        <v>16</v>
      </c>
      <c r="B81" s="2">
        <v>332</v>
      </c>
      <c r="C81" s="2">
        <v>2205</v>
      </c>
      <c r="D81" s="2">
        <v>20026681</v>
      </c>
      <c r="E81" s="2">
        <f>9179/3</f>
        <v>3059.6666666666665</v>
      </c>
      <c r="G81" s="2" t="s">
        <v>16</v>
      </c>
      <c r="H81" s="2">
        <v>226</v>
      </c>
      <c r="I81" s="2">
        <v>1490</v>
      </c>
      <c r="J81" s="2">
        <v>20295974</v>
      </c>
      <c r="K81" s="2">
        <f>13549/3</f>
        <v>4516.333333333333</v>
      </c>
    </row>
    <row r="82" spans="1:11" x14ac:dyDescent="0.25">
      <c r="A82" s="23" t="s">
        <v>49</v>
      </c>
      <c r="B82" s="2">
        <v>239</v>
      </c>
      <c r="C82" s="2">
        <v>3292</v>
      </c>
      <c r="D82" s="2">
        <v>32607743</v>
      </c>
      <c r="E82" s="2">
        <f>10038/3</f>
        <v>3346</v>
      </c>
      <c r="G82" s="23" t="s">
        <v>49</v>
      </c>
      <c r="H82" s="2">
        <v>183</v>
      </c>
      <c r="I82" s="2">
        <v>2487</v>
      </c>
      <c r="J82" s="2">
        <v>34623864</v>
      </c>
      <c r="K82" s="2">
        <f>13988/3</f>
        <v>4662.666666666667</v>
      </c>
    </row>
    <row r="83" spans="1:11" x14ac:dyDescent="0.25">
      <c r="A83" s="2" t="s">
        <v>17</v>
      </c>
      <c r="B83" s="2">
        <v>208</v>
      </c>
      <c r="C83" s="2">
        <v>6336</v>
      </c>
      <c r="D83" s="2">
        <v>65089899</v>
      </c>
      <c r="E83" s="2">
        <f>10261/3</f>
        <v>3420.3333333333335</v>
      </c>
      <c r="G83" s="2" t="s">
        <v>17</v>
      </c>
      <c r="H83" s="2">
        <v>155</v>
      </c>
      <c r="I83" s="2">
        <v>4756</v>
      </c>
      <c r="J83" s="2">
        <v>61133077</v>
      </c>
      <c r="K83" s="2">
        <f>12988/3</f>
        <v>4329.333333333333</v>
      </c>
    </row>
    <row r="84" spans="1:11" x14ac:dyDescent="0.25">
      <c r="A84" s="2" t="s">
        <v>18</v>
      </c>
      <c r="B84" s="2">
        <v>74</v>
      </c>
      <c r="C84" s="2">
        <v>5493</v>
      </c>
      <c r="D84" s="2">
        <v>54873658</v>
      </c>
      <c r="E84" s="2">
        <f>10022/3</f>
        <v>3340.6666666666665</v>
      </c>
      <c r="G84" s="2" t="s">
        <v>18</v>
      </c>
      <c r="H84" s="2">
        <v>68</v>
      </c>
      <c r="I84" s="2">
        <v>4712</v>
      </c>
      <c r="J84" s="2">
        <v>63435520</v>
      </c>
      <c r="K84" s="2">
        <f>13830/3</f>
        <v>4610</v>
      </c>
    </row>
    <row r="85" spans="1:11" x14ac:dyDescent="0.25">
      <c r="A85" s="2" t="s">
        <v>19</v>
      </c>
      <c r="B85" s="2">
        <v>44</v>
      </c>
      <c r="C85" s="2">
        <v>6847</v>
      </c>
      <c r="D85" s="2">
        <v>70869758</v>
      </c>
      <c r="E85" s="2">
        <f>10228/3</f>
        <v>3409.3333333333335</v>
      </c>
      <c r="G85" s="2" t="s">
        <v>19</v>
      </c>
      <c r="H85" s="2">
        <v>49</v>
      </c>
      <c r="I85" s="2">
        <v>7533</v>
      </c>
      <c r="J85" s="2">
        <v>100304882</v>
      </c>
      <c r="K85" s="2">
        <f>13349/3</f>
        <v>4449.666666666667</v>
      </c>
    </row>
    <row r="86" spans="1:11" x14ac:dyDescent="0.25">
      <c r="A86" s="2" t="s">
        <v>20</v>
      </c>
      <c r="B86" s="2">
        <v>15</v>
      </c>
      <c r="C86" s="2">
        <v>5280</v>
      </c>
      <c r="D86" s="2">
        <v>42765463</v>
      </c>
      <c r="E86" s="2">
        <f>8138/3</f>
        <v>2712.6666666666665</v>
      </c>
      <c r="G86" s="2" t="s">
        <v>20</v>
      </c>
      <c r="H86" s="2">
        <v>8</v>
      </c>
      <c r="I86" s="2">
        <v>2818</v>
      </c>
      <c r="J86" s="2">
        <v>41491132</v>
      </c>
      <c r="K86" s="2">
        <f>14685/3</f>
        <v>4895</v>
      </c>
    </row>
    <row r="87" spans="1:11" x14ac:dyDescent="0.25">
      <c r="A87" s="2" t="s">
        <v>22</v>
      </c>
      <c r="B87" s="2">
        <v>8</v>
      </c>
      <c r="C87" s="2">
        <v>5079</v>
      </c>
      <c r="D87" s="2">
        <v>69651083</v>
      </c>
      <c r="E87" s="2">
        <f>13721/3</f>
        <v>4573.666666666667</v>
      </c>
      <c r="G87" s="2" t="s">
        <v>27</v>
      </c>
      <c r="H87" s="2">
        <f>7+2</f>
        <v>9</v>
      </c>
      <c r="I87" s="2">
        <f>4826+2044</f>
        <v>6870</v>
      </c>
      <c r="J87" s="2">
        <f>106057079+16362115</f>
        <v>122419194</v>
      </c>
      <c r="K87" s="4">
        <f>J87/20390</f>
        <v>6003.8839627268271</v>
      </c>
    </row>
    <row r="88" spans="1:11" x14ac:dyDescent="0.25">
      <c r="A88" s="2" t="s">
        <v>23</v>
      </c>
      <c r="B88" s="2">
        <v>5</v>
      </c>
      <c r="C88" s="2">
        <v>9596</v>
      </c>
      <c r="D88" s="2">
        <v>138322493</v>
      </c>
      <c r="E88" s="2">
        <f>14253/3</f>
        <v>4751</v>
      </c>
    </row>
    <row r="90" spans="1:11" x14ac:dyDescent="0.25">
      <c r="A90" s="30" t="s">
        <v>29</v>
      </c>
      <c r="B90" s="30"/>
      <c r="C90" s="30"/>
      <c r="D90" s="30"/>
      <c r="E90" s="30"/>
      <c r="F90" s="10"/>
      <c r="G90" s="30" t="s">
        <v>30</v>
      </c>
      <c r="H90" s="30"/>
      <c r="I90" s="30"/>
      <c r="J90" s="30"/>
      <c r="K90" s="30"/>
    </row>
    <row r="91" spans="1:11" x14ac:dyDescent="0.25">
      <c r="A91" s="7"/>
      <c r="B91" s="7"/>
      <c r="C91" s="7"/>
      <c r="D91" s="7" t="s">
        <v>1</v>
      </c>
      <c r="E91" s="7" t="s">
        <v>2</v>
      </c>
      <c r="F91" s="8"/>
      <c r="G91" s="7"/>
      <c r="H91" s="7"/>
      <c r="I91" s="7"/>
      <c r="J91" s="7" t="s">
        <v>1</v>
      </c>
      <c r="K91" s="7" t="s">
        <v>2</v>
      </c>
    </row>
    <row r="92" spans="1:11" x14ac:dyDescent="0.25">
      <c r="A92" s="9" t="s">
        <v>3</v>
      </c>
      <c r="B92" s="7" t="s">
        <v>4</v>
      </c>
      <c r="C92" s="7" t="s">
        <v>5</v>
      </c>
      <c r="D92" s="7" t="s">
        <v>6</v>
      </c>
      <c r="E92" s="7" t="s">
        <v>7</v>
      </c>
      <c r="F92" s="8"/>
      <c r="G92" s="9" t="s">
        <v>3</v>
      </c>
      <c r="H92" s="7" t="s">
        <v>4</v>
      </c>
      <c r="I92" s="7" t="s">
        <v>5</v>
      </c>
      <c r="J92" s="7" t="s">
        <v>6</v>
      </c>
      <c r="K92" s="7" t="s">
        <v>7</v>
      </c>
    </row>
    <row r="93" spans="1:11" ht="13.8" thickBot="1" x14ac:dyDescent="0.3">
      <c r="A93" s="14" t="s">
        <v>8</v>
      </c>
      <c r="B93" s="15" t="s">
        <v>9</v>
      </c>
      <c r="C93" s="15" t="s">
        <v>10</v>
      </c>
      <c r="D93" s="15" t="s">
        <v>11</v>
      </c>
      <c r="E93" s="15" t="s">
        <v>12</v>
      </c>
      <c r="F93" s="16"/>
      <c r="G93" s="14" t="s">
        <v>8</v>
      </c>
      <c r="H93" s="15" t="s">
        <v>9</v>
      </c>
      <c r="I93" s="15" t="s">
        <v>10</v>
      </c>
      <c r="J93" s="15" t="s">
        <v>11</v>
      </c>
      <c r="K93" s="15" t="s">
        <v>12</v>
      </c>
    </row>
    <row r="94" spans="1:11" ht="13.8" thickTop="1" x14ac:dyDescent="0.25"/>
    <row r="95" spans="1:11" s="11" customFormat="1" x14ac:dyDescent="0.25">
      <c r="A95" s="11" t="s">
        <v>25</v>
      </c>
      <c r="B95" s="11">
        <f>SUM(B97:B106)</f>
        <v>5236</v>
      </c>
      <c r="C95" s="11">
        <f>SUM(C97:C106)</f>
        <v>54251</v>
      </c>
      <c r="D95" s="12">
        <f>SUM(D97:D106)</f>
        <v>907754499</v>
      </c>
      <c r="E95" s="12">
        <f>16790/3</f>
        <v>5596.666666666667</v>
      </c>
      <c r="G95" s="11" t="s">
        <v>25</v>
      </c>
      <c r="H95" s="11">
        <f>SUM(H97:H103)</f>
        <v>4446</v>
      </c>
      <c r="I95" s="11">
        <f>SUM(I97:I103)</f>
        <v>17030</v>
      </c>
      <c r="J95" s="12">
        <f>SUM(J97:J103)</f>
        <v>163803595</v>
      </c>
      <c r="K95" s="12">
        <f>9686/3</f>
        <v>3228.6666666666665</v>
      </c>
    </row>
    <row r="96" spans="1:11" x14ac:dyDescent="0.25">
      <c r="A96" s="2" t="s">
        <v>26</v>
      </c>
      <c r="G96" s="2" t="s">
        <v>26</v>
      </c>
    </row>
    <row r="97" spans="1:11" x14ac:dyDescent="0.25">
      <c r="A97" s="2" t="s">
        <v>14</v>
      </c>
      <c r="B97" s="2">
        <v>581</v>
      </c>
      <c r="C97" s="2">
        <v>0</v>
      </c>
      <c r="D97" s="2">
        <v>8837132</v>
      </c>
      <c r="E97" s="2">
        <f>34033/3</f>
        <v>11344.333333333334</v>
      </c>
      <c r="G97" s="2" t="s">
        <v>14</v>
      </c>
      <c r="H97" s="2">
        <v>873</v>
      </c>
      <c r="I97" s="2">
        <v>0</v>
      </c>
      <c r="J97" s="2">
        <v>1940595</v>
      </c>
      <c r="K97" s="2">
        <f>8754/3</f>
        <v>2918</v>
      </c>
    </row>
    <row r="98" spans="1:11" x14ac:dyDescent="0.25">
      <c r="A98" s="2" t="s">
        <v>15</v>
      </c>
      <c r="B98" s="2">
        <v>2794</v>
      </c>
      <c r="C98" s="2">
        <v>5316</v>
      </c>
      <c r="D98" s="2">
        <v>71937624</v>
      </c>
      <c r="E98" s="2">
        <f>13625/3</f>
        <v>4541.666666666667</v>
      </c>
      <c r="G98" s="2" t="s">
        <v>15</v>
      </c>
      <c r="H98" s="2">
        <v>2725</v>
      </c>
      <c r="I98" s="2">
        <v>4627</v>
      </c>
      <c r="J98" s="2">
        <v>37020428</v>
      </c>
      <c r="K98" s="2">
        <f>8123/3</f>
        <v>2707.6666666666665</v>
      </c>
    </row>
    <row r="99" spans="1:11" x14ac:dyDescent="0.25">
      <c r="A99" s="2" t="s">
        <v>16</v>
      </c>
      <c r="B99" s="2">
        <v>954</v>
      </c>
      <c r="C99" s="2">
        <v>6274</v>
      </c>
      <c r="D99" s="2">
        <v>74648589</v>
      </c>
      <c r="E99" s="2">
        <f>11968/3</f>
        <v>3989.3333333333335</v>
      </c>
      <c r="G99" s="2" t="s">
        <v>16</v>
      </c>
      <c r="H99" s="2">
        <v>527</v>
      </c>
      <c r="I99" s="2">
        <v>3434</v>
      </c>
      <c r="J99" s="2">
        <v>33334525</v>
      </c>
      <c r="K99" s="2">
        <f>9874/3</f>
        <v>3291.3333333333335</v>
      </c>
    </row>
    <row r="100" spans="1:11" x14ac:dyDescent="0.25">
      <c r="A100" s="23" t="s">
        <v>49</v>
      </c>
      <c r="B100" s="2">
        <v>529</v>
      </c>
      <c r="C100" s="2">
        <v>6984</v>
      </c>
      <c r="D100" s="2">
        <v>90518528</v>
      </c>
      <c r="E100" s="2">
        <f>13134/3</f>
        <v>4378</v>
      </c>
      <c r="G100" s="23" t="s">
        <v>49</v>
      </c>
      <c r="H100" s="2">
        <v>200</v>
      </c>
      <c r="I100" s="2">
        <v>2618</v>
      </c>
      <c r="J100" s="2">
        <v>27088195</v>
      </c>
      <c r="K100" s="2">
        <f>10432/3</f>
        <v>3477.3333333333335</v>
      </c>
    </row>
    <row r="101" spans="1:11" x14ac:dyDescent="0.25">
      <c r="A101" s="2" t="s">
        <v>17</v>
      </c>
      <c r="B101" s="2">
        <v>237</v>
      </c>
      <c r="C101" s="2">
        <v>6989</v>
      </c>
      <c r="D101" s="2">
        <v>134513316</v>
      </c>
      <c r="E101" s="2">
        <f>19396/3</f>
        <v>6465.333333333333</v>
      </c>
      <c r="G101" s="2" t="s">
        <v>17</v>
      </c>
      <c r="H101" s="2">
        <v>80</v>
      </c>
      <c r="I101" s="2">
        <v>2346</v>
      </c>
      <c r="J101" s="2">
        <v>24816620</v>
      </c>
      <c r="K101" s="2">
        <f>10721/3</f>
        <v>3573.6666666666665</v>
      </c>
    </row>
    <row r="102" spans="1:11" x14ac:dyDescent="0.25">
      <c r="A102" s="2" t="s">
        <v>18</v>
      </c>
      <c r="B102" s="2">
        <v>75</v>
      </c>
      <c r="C102" s="2">
        <v>5188</v>
      </c>
      <c r="D102" s="2">
        <v>122036640</v>
      </c>
      <c r="E102" s="2">
        <f>23724/3</f>
        <v>7908</v>
      </c>
      <c r="G102" s="2" t="s">
        <v>18</v>
      </c>
      <c r="H102" s="2">
        <v>29</v>
      </c>
      <c r="I102" s="2">
        <v>1930</v>
      </c>
      <c r="J102" s="2">
        <v>18316372</v>
      </c>
      <c r="K102" s="2">
        <f>9676/3</f>
        <v>3225.3333333333335</v>
      </c>
    </row>
    <row r="103" spans="1:11" x14ac:dyDescent="0.25">
      <c r="A103" s="2" t="s">
        <v>19</v>
      </c>
      <c r="B103" s="2">
        <v>37</v>
      </c>
      <c r="C103" s="2">
        <v>5535</v>
      </c>
      <c r="D103" s="2">
        <v>97446621</v>
      </c>
      <c r="E103" s="2">
        <f>17835/3</f>
        <v>5945</v>
      </c>
      <c r="G103" s="2" t="s">
        <v>31</v>
      </c>
      <c r="H103" s="2">
        <f>10+1+1</f>
        <v>12</v>
      </c>
      <c r="I103" s="2">
        <f>1283+284+508</f>
        <v>2075</v>
      </c>
      <c r="J103" s="2">
        <f>14593575+2128537+4564748</f>
        <v>21286860</v>
      </c>
      <c r="K103" s="4">
        <f>J103/5853</f>
        <v>3636.9144028703231</v>
      </c>
    </row>
    <row r="104" spans="1:11" x14ac:dyDescent="0.25">
      <c r="A104" s="2" t="s">
        <v>20</v>
      </c>
      <c r="B104" s="2">
        <v>19</v>
      </c>
      <c r="C104" s="2">
        <v>6553</v>
      </c>
      <c r="D104" s="2">
        <v>113601756</v>
      </c>
      <c r="E104" s="2">
        <f>17703/3</f>
        <v>5901</v>
      </c>
    </row>
    <row r="105" spans="1:11" x14ac:dyDescent="0.25">
      <c r="A105" s="2" t="s">
        <v>22</v>
      </c>
      <c r="B105" s="2">
        <v>5</v>
      </c>
      <c r="C105" s="2">
        <v>3786</v>
      </c>
      <c r="D105" s="2">
        <v>63640555</v>
      </c>
      <c r="E105" s="2">
        <f>16959/3</f>
        <v>5653</v>
      </c>
    </row>
    <row r="106" spans="1:11" x14ac:dyDescent="0.25">
      <c r="A106" s="2" t="s">
        <v>23</v>
      </c>
      <c r="B106" s="2">
        <v>5</v>
      </c>
      <c r="C106" s="2">
        <v>7626</v>
      </c>
      <c r="D106" s="2">
        <v>130573738</v>
      </c>
      <c r="E106" s="2">
        <f>16997/3</f>
        <v>5665.666666666667</v>
      </c>
    </row>
    <row r="108" spans="1:11" x14ac:dyDescent="0.25">
      <c r="A108" s="30" t="s">
        <v>32</v>
      </c>
      <c r="B108" s="30"/>
      <c r="C108" s="30"/>
      <c r="D108" s="30"/>
      <c r="E108" s="30"/>
      <c r="F108" s="10"/>
      <c r="G108" s="30" t="s">
        <v>33</v>
      </c>
      <c r="H108" s="30"/>
      <c r="I108" s="30"/>
      <c r="J108" s="30"/>
      <c r="K108" s="30"/>
    </row>
    <row r="109" spans="1:11" x14ac:dyDescent="0.25">
      <c r="A109" s="17"/>
      <c r="B109" s="17"/>
      <c r="C109" s="17"/>
      <c r="D109" s="17" t="s">
        <v>1</v>
      </c>
      <c r="E109" s="17" t="s">
        <v>2</v>
      </c>
      <c r="F109" s="18"/>
      <c r="G109" s="17"/>
      <c r="H109" s="17"/>
      <c r="I109" s="17"/>
      <c r="J109" s="17" t="s">
        <v>1</v>
      </c>
      <c r="K109" s="17" t="s">
        <v>2</v>
      </c>
    </row>
    <row r="110" spans="1:11" x14ac:dyDescent="0.25">
      <c r="A110" s="19" t="s">
        <v>3</v>
      </c>
      <c r="B110" s="17" t="s">
        <v>4</v>
      </c>
      <c r="C110" s="17" t="s">
        <v>5</v>
      </c>
      <c r="D110" s="17" t="s">
        <v>6</v>
      </c>
      <c r="E110" s="17" t="s">
        <v>7</v>
      </c>
      <c r="F110" s="18"/>
      <c r="G110" s="19" t="s">
        <v>3</v>
      </c>
      <c r="H110" s="17" t="s">
        <v>4</v>
      </c>
      <c r="I110" s="17" t="s">
        <v>5</v>
      </c>
      <c r="J110" s="17" t="s">
        <v>6</v>
      </c>
      <c r="K110" s="17" t="s">
        <v>7</v>
      </c>
    </row>
    <row r="111" spans="1:11" ht="13.8" thickBot="1" x14ac:dyDescent="0.3">
      <c r="A111" s="14" t="s">
        <v>8</v>
      </c>
      <c r="B111" s="15" t="s">
        <v>9</v>
      </c>
      <c r="C111" s="15" t="s">
        <v>10</v>
      </c>
      <c r="D111" s="15" t="s">
        <v>11</v>
      </c>
      <c r="E111" s="15" t="s">
        <v>12</v>
      </c>
      <c r="F111" s="16"/>
      <c r="G111" s="14" t="s">
        <v>8</v>
      </c>
      <c r="H111" s="15" t="s">
        <v>9</v>
      </c>
      <c r="I111" s="15" t="s">
        <v>10</v>
      </c>
      <c r="J111" s="15" t="s">
        <v>11</v>
      </c>
      <c r="K111" s="15" t="s">
        <v>12</v>
      </c>
    </row>
    <row r="112" spans="1:11" ht="13.8" thickTop="1" x14ac:dyDescent="0.25"/>
    <row r="113" spans="1:11" s="11" customFormat="1" x14ac:dyDescent="0.25">
      <c r="A113" s="11" t="s">
        <v>25</v>
      </c>
      <c r="B113" s="11">
        <f>SUM(B115:B123)</f>
        <v>11797</v>
      </c>
      <c r="C113" s="11">
        <f>SUM(C115:C123)</f>
        <v>76871</v>
      </c>
      <c r="D113" s="11">
        <f>SUM(D115:D123)</f>
        <v>1141934833</v>
      </c>
      <c r="E113" s="12">
        <f>14990/3</f>
        <v>4996.666666666667</v>
      </c>
      <c r="G113" s="11" t="s">
        <v>25</v>
      </c>
      <c r="H113" s="11">
        <f>SUM(H115:H124)</f>
        <v>615</v>
      </c>
      <c r="I113" s="11">
        <f>SUM(I115:I124)</f>
        <v>19192</v>
      </c>
      <c r="J113" s="12">
        <f>SUM(J115:J124)</f>
        <v>424991055</v>
      </c>
      <c r="K113" s="12">
        <f>22274/3</f>
        <v>7424.666666666667</v>
      </c>
    </row>
    <row r="114" spans="1:11" x14ac:dyDescent="0.25">
      <c r="A114" s="2" t="s">
        <v>26</v>
      </c>
      <c r="G114" s="2" t="s">
        <v>26</v>
      </c>
    </row>
    <row r="115" spans="1:11" x14ac:dyDescent="0.25">
      <c r="A115" s="2" t="s">
        <v>14</v>
      </c>
      <c r="B115" s="2">
        <v>2275</v>
      </c>
      <c r="C115" s="2">
        <v>0</v>
      </c>
      <c r="D115" s="2">
        <v>7983980</v>
      </c>
      <c r="E115" s="2">
        <f>16000/3</f>
        <v>5333.333333333333</v>
      </c>
      <c r="G115" s="2" t="s">
        <v>14</v>
      </c>
      <c r="H115" s="2">
        <v>55</v>
      </c>
      <c r="I115" s="2">
        <v>0</v>
      </c>
      <c r="J115" s="2">
        <v>340787</v>
      </c>
      <c r="K115" s="2">
        <f>9926/3</f>
        <v>3308.6666666666665</v>
      </c>
    </row>
    <row r="116" spans="1:11" x14ac:dyDescent="0.25">
      <c r="A116" s="2" t="s">
        <v>15</v>
      </c>
      <c r="B116" s="2">
        <v>6807</v>
      </c>
      <c r="C116" s="2">
        <v>11215</v>
      </c>
      <c r="D116" s="2">
        <v>150368829</v>
      </c>
      <c r="E116" s="2">
        <f>13637/3</f>
        <v>4545.666666666667</v>
      </c>
      <c r="G116" s="2" t="s">
        <v>15</v>
      </c>
      <c r="H116" s="2">
        <v>274</v>
      </c>
      <c r="I116" s="2">
        <v>491</v>
      </c>
      <c r="J116" s="2">
        <v>10445917</v>
      </c>
      <c r="K116" s="2">
        <f>22194/3</f>
        <v>7398</v>
      </c>
    </row>
    <row r="117" spans="1:11" x14ac:dyDescent="0.25">
      <c r="A117" s="2" t="s">
        <v>16</v>
      </c>
      <c r="B117" s="2">
        <v>1286</v>
      </c>
      <c r="C117" s="2">
        <v>8476</v>
      </c>
      <c r="D117" s="2">
        <v>104515799</v>
      </c>
      <c r="E117" s="2">
        <f>12517/3</f>
        <v>4172.333333333333</v>
      </c>
      <c r="G117" s="2" t="s">
        <v>16</v>
      </c>
      <c r="H117" s="2">
        <v>65</v>
      </c>
      <c r="I117" s="2">
        <v>439</v>
      </c>
      <c r="J117" s="2">
        <v>9103024</v>
      </c>
      <c r="K117" s="2">
        <f>21725/3</f>
        <v>7241.666666666667</v>
      </c>
    </row>
    <row r="118" spans="1:11" x14ac:dyDescent="0.25">
      <c r="A118" s="23" t="s">
        <v>49</v>
      </c>
      <c r="B118" s="2">
        <v>699</v>
      </c>
      <c r="C118" s="2">
        <v>9457</v>
      </c>
      <c r="D118" s="2">
        <v>128095409</v>
      </c>
      <c r="E118" s="2">
        <f>13791/3</f>
        <v>4597</v>
      </c>
      <c r="G118" s="23" t="s">
        <v>49</v>
      </c>
      <c r="H118" s="2">
        <v>76</v>
      </c>
      <c r="I118" s="2">
        <v>1040</v>
      </c>
      <c r="J118" s="2">
        <v>16516007</v>
      </c>
      <c r="K118" s="2">
        <f>16181/3</f>
        <v>5393.666666666667</v>
      </c>
    </row>
    <row r="119" spans="1:11" x14ac:dyDescent="0.25">
      <c r="A119" s="2" t="s">
        <v>17</v>
      </c>
      <c r="B119" s="2">
        <v>465</v>
      </c>
      <c r="C119" s="2">
        <v>13744</v>
      </c>
      <c r="D119" s="2">
        <v>207872248</v>
      </c>
      <c r="E119" s="2">
        <f>15353/3</f>
        <v>5117.666666666667</v>
      </c>
      <c r="G119" s="2" t="s">
        <v>17</v>
      </c>
      <c r="H119" s="2">
        <v>75</v>
      </c>
      <c r="I119" s="2">
        <v>2392</v>
      </c>
      <c r="J119" s="2">
        <v>63981162</v>
      </c>
      <c r="K119" s="2">
        <f>26902/3</f>
        <v>8967.3333333333339</v>
      </c>
    </row>
    <row r="120" spans="1:11" x14ac:dyDescent="0.25">
      <c r="A120" s="2" t="s">
        <v>18</v>
      </c>
      <c r="B120" s="2">
        <v>161</v>
      </c>
      <c r="C120" s="2">
        <v>11054</v>
      </c>
      <c r="D120" s="2">
        <v>184863300</v>
      </c>
      <c r="E120" s="2">
        <f>16947/3</f>
        <v>5649</v>
      </c>
      <c r="G120" s="2" t="s">
        <v>18</v>
      </c>
      <c r="H120" s="2">
        <v>29</v>
      </c>
      <c r="I120" s="2">
        <v>1903</v>
      </c>
      <c r="J120" s="2">
        <v>43098296</v>
      </c>
      <c r="K120" s="2">
        <f>22580/3</f>
        <v>7526.666666666667</v>
      </c>
    </row>
    <row r="121" spans="1:11" x14ac:dyDescent="0.25">
      <c r="A121" s="2" t="s">
        <v>19</v>
      </c>
      <c r="B121" s="2">
        <v>78</v>
      </c>
      <c r="C121" s="2">
        <v>11987</v>
      </c>
      <c r="D121" s="2">
        <v>210630647</v>
      </c>
      <c r="E121" s="2">
        <f>17829/3</f>
        <v>5943</v>
      </c>
      <c r="G121" s="2" t="s">
        <v>19</v>
      </c>
      <c r="H121" s="2">
        <v>26</v>
      </c>
      <c r="I121" s="2">
        <v>4186</v>
      </c>
      <c r="J121" s="2">
        <v>111012096</v>
      </c>
      <c r="K121" s="2">
        <f>26862/3</f>
        <v>8954</v>
      </c>
    </row>
    <row r="122" spans="1:11" x14ac:dyDescent="0.25">
      <c r="A122" s="2" t="s">
        <v>20</v>
      </c>
      <c r="B122" s="2">
        <v>20</v>
      </c>
      <c r="C122" s="2">
        <v>7258</v>
      </c>
      <c r="D122" s="2">
        <v>100130972</v>
      </c>
      <c r="E122" s="2">
        <f>14006/3</f>
        <v>4668.666666666667</v>
      </c>
      <c r="G122" s="2" t="s">
        <v>20</v>
      </c>
      <c r="H122" s="2">
        <v>8</v>
      </c>
      <c r="I122" s="2">
        <v>2833</v>
      </c>
      <c r="J122" s="2">
        <v>40160347</v>
      </c>
      <c r="K122" s="2">
        <f>14129/3</f>
        <v>4709.666666666667</v>
      </c>
    </row>
    <row r="123" spans="1:11" x14ac:dyDescent="0.25">
      <c r="A123" s="2" t="s">
        <v>27</v>
      </c>
      <c r="B123" s="2">
        <v>6</v>
      </c>
      <c r="C123" s="2">
        <v>3680</v>
      </c>
      <c r="D123" s="2">
        <v>47473649</v>
      </c>
      <c r="E123" s="2">
        <f>13178/3</f>
        <v>4392.666666666667</v>
      </c>
      <c r="G123" s="2" t="s">
        <v>27</v>
      </c>
      <c r="H123" s="2">
        <f>6+1</f>
        <v>7</v>
      </c>
      <c r="I123" s="2">
        <f>4022+1886</f>
        <v>5908</v>
      </c>
      <c r="J123" s="2">
        <f>117875236+12458183</f>
        <v>130333419</v>
      </c>
      <c r="K123" s="4">
        <f>J123/17619</f>
        <v>7397.3221522220329</v>
      </c>
    </row>
    <row r="125" spans="1:11" x14ac:dyDescent="0.25">
      <c r="A125" s="30" t="s">
        <v>34</v>
      </c>
      <c r="B125" s="30"/>
      <c r="C125" s="30"/>
      <c r="D125" s="30"/>
      <c r="E125" s="30"/>
      <c r="F125" s="30"/>
      <c r="G125" s="30" t="s">
        <v>53</v>
      </c>
      <c r="H125" s="30"/>
      <c r="I125" s="30"/>
      <c r="J125" s="30"/>
      <c r="K125" s="30"/>
    </row>
    <row r="126" spans="1:11" x14ac:dyDescent="0.25">
      <c r="A126" s="17"/>
      <c r="B126" s="17"/>
      <c r="C126" s="17"/>
      <c r="D126" s="17" t="s">
        <v>1</v>
      </c>
      <c r="E126" s="17" t="s">
        <v>2</v>
      </c>
      <c r="F126" s="18"/>
      <c r="G126" s="17"/>
      <c r="H126" s="17"/>
      <c r="I126" s="17"/>
      <c r="J126" s="17" t="s">
        <v>1</v>
      </c>
      <c r="K126" s="17" t="s">
        <v>2</v>
      </c>
    </row>
    <row r="127" spans="1:11" x14ac:dyDescent="0.25">
      <c r="A127" s="19" t="s">
        <v>3</v>
      </c>
      <c r="B127" s="17" t="s">
        <v>4</v>
      </c>
      <c r="C127" s="17" t="s">
        <v>5</v>
      </c>
      <c r="D127" s="17" t="s">
        <v>6</v>
      </c>
      <c r="E127" s="17" t="s">
        <v>7</v>
      </c>
      <c r="F127" s="18"/>
      <c r="G127" s="19" t="s">
        <v>3</v>
      </c>
      <c r="H127" s="17" t="s">
        <v>4</v>
      </c>
      <c r="I127" s="17" t="s">
        <v>5</v>
      </c>
      <c r="J127" s="17" t="s">
        <v>6</v>
      </c>
      <c r="K127" s="17" t="s">
        <v>7</v>
      </c>
    </row>
    <row r="128" spans="1:11" ht="13.8" thickBot="1" x14ac:dyDescent="0.3">
      <c r="A128" s="14" t="s">
        <v>8</v>
      </c>
      <c r="B128" s="15" t="s">
        <v>9</v>
      </c>
      <c r="C128" s="15" t="s">
        <v>10</v>
      </c>
      <c r="D128" s="15" t="s">
        <v>11</v>
      </c>
      <c r="E128" s="15" t="s">
        <v>12</v>
      </c>
      <c r="F128" s="16"/>
      <c r="G128" s="14" t="s">
        <v>8</v>
      </c>
      <c r="H128" s="15" t="s">
        <v>9</v>
      </c>
      <c r="I128" s="15" t="s">
        <v>10</v>
      </c>
      <c r="J128" s="15" t="s">
        <v>11</v>
      </c>
      <c r="K128" s="15" t="s">
        <v>12</v>
      </c>
    </row>
    <row r="129" spans="1:11" ht="13.8" thickTop="1" x14ac:dyDescent="0.25"/>
    <row r="130" spans="1:11" s="11" customFormat="1" x14ac:dyDescent="0.25">
      <c r="A130" s="11" t="s">
        <v>25</v>
      </c>
      <c r="B130" s="11">
        <f>SUM(B132:B141)</f>
        <v>5153</v>
      </c>
      <c r="C130" s="11">
        <f>SUM(C132:C141)</f>
        <v>76083</v>
      </c>
      <c r="D130" s="12">
        <f>SUM(D132:D141)</f>
        <v>550784085</v>
      </c>
      <c r="E130" s="12">
        <f>7343/3</f>
        <v>2447.6666666666665</v>
      </c>
      <c r="G130" s="11" t="s">
        <v>25</v>
      </c>
      <c r="H130" s="11">
        <f>SUM(H132:H140)</f>
        <v>1271</v>
      </c>
      <c r="I130" s="11">
        <f>SUM(I132:I140)</f>
        <v>40829</v>
      </c>
      <c r="J130" s="12">
        <f>SUM(J132:J140)</f>
        <v>267240549</v>
      </c>
      <c r="K130" s="12">
        <f>6574/3</f>
        <v>2191.3333333333335</v>
      </c>
    </row>
    <row r="131" spans="1:11" x14ac:dyDescent="0.25">
      <c r="A131" s="2" t="s">
        <v>26</v>
      </c>
      <c r="G131" s="2" t="s">
        <v>26</v>
      </c>
    </row>
    <row r="132" spans="1:11" x14ac:dyDescent="0.25">
      <c r="A132" s="2" t="s">
        <v>14</v>
      </c>
      <c r="B132" s="2">
        <v>1143</v>
      </c>
      <c r="C132" s="2">
        <v>0</v>
      </c>
      <c r="D132" s="2">
        <v>2364283</v>
      </c>
      <c r="E132" s="2">
        <f>8756/3</f>
        <v>2918.6666666666665</v>
      </c>
      <c r="G132" s="2" t="s">
        <v>14</v>
      </c>
      <c r="H132" s="2">
        <v>192</v>
      </c>
      <c r="I132" s="2">
        <v>0</v>
      </c>
      <c r="J132" s="2">
        <v>640304</v>
      </c>
      <c r="K132" s="2">
        <f>5292/3</f>
        <v>1764</v>
      </c>
    </row>
    <row r="133" spans="1:11" x14ac:dyDescent="0.25">
      <c r="A133" s="2" t="s">
        <v>15</v>
      </c>
      <c r="B133" s="2">
        <v>2340</v>
      </c>
      <c r="C133" s="2">
        <v>4280</v>
      </c>
      <c r="D133" s="2">
        <v>38101962</v>
      </c>
      <c r="E133" s="2">
        <f>9142/3</f>
        <v>3047.3333333333335</v>
      </c>
      <c r="G133" s="2" t="s">
        <v>15</v>
      </c>
      <c r="H133" s="2">
        <v>482</v>
      </c>
      <c r="I133" s="2">
        <v>883</v>
      </c>
      <c r="J133" s="2">
        <v>6535652</v>
      </c>
      <c r="K133" s="2">
        <f>7626/3</f>
        <v>2542</v>
      </c>
    </row>
    <row r="134" spans="1:11" x14ac:dyDescent="0.25">
      <c r="A134" s="2" t="s">
        <v>16</v>
      </c>
      <c r="B134" s="2">
        <v>690</v>
      </c>
      <c r="C134" s="2">
        <v>4526</v>
      </c>
      <c r="D134" s="2">
        <v>34303604</v>
      </c>
      <c r="E134" s="2">
        <f>7911/3</f>
        <v>2637</v>
      </c>
      <c r="G134" s="2" t="s">
        <v>16</v>
      </c>
      <c r="H134" s="2">
        <v>189</v>
      </c>
      <c r="I134" s="2">
        <v>1276</v>
      </c>
      <c r="J134" s="2">
        <v>6412406</v>
      </c>
      <c r="K134" s="2">
        <f>5146/3</f>
        <v>1715.3333333333333</v>
      </c>
    </row>
    <row r="135" spans="1:11" x14ac:dyDescent="0.25">
      <c r="A135" s="23" t="s">
        <v>49</v>
      </c>
      <c r="B135" s="2">
        <v>407</v>
      </c>
      <c r="C135" s="2">
        <v>5524</v>
      </c>
      <c r="D135" s="2">
        <v>43835488</v>
      </c>
      <c r="E135" s="2">
        <f>8170/3</f>
        <v>2723.3333333333335</v>
      </c>
      <c r="G135" s="23" t="s">
        <v>49</v>
      </c>
      <c r="H135" s="2">
        <v>149</v>
      </c>
      <c r="I135" s="2">
        <v>2053</v>
      </c>
      <c r="J135" s="2">
        <v>10894250</v>
      </c>
      <c r="K135" s="2">
        <f>5483/3</f>
        <v>1827.6666666666667</v>
      </c>
    </row>
    <row r="136" spans="1:11" x14ac:dyDescent="0.25">
      <c r="A136" s="2" t="s">
        <v>17</v>
      </c>
      <c r="B136" s="2">
        <v>293</v>
      </c>
      <c r="C136" s="2">
        <v>8768</v>
      </c>
      <c r="D136" s="2">
        <v>75989322</v>
      </c>
      <c r="E136" s="2">
        <f>8794/3</f>
        <v>2931.3333333333335</v>
      </c>
      <c r="G136" s="2" t="s">
        <v>17</v>
      </c>
      <c r="H136" s="2">
        <v>148</v>
      </c>
      <c r="I136" s="2">
        <v>4646</v>
      </c>
      <c r="J136" s="2">
        <v>31775138</v>
      </c>
      <c r="K136" s="2">
        <f>6978/3</f>
        <v>2326</v>
      </c>
    </row>
    <row r="137" spans="1:11" x14ac:dyDescent="0.25">
      <c r="A137" s="2" t="s">
        <v>18</v>
      </c>
      <c r="B137" s="2">
        <v>131</v>
      </c>
      <c r="C137" s="2">
        <v>9157</v>
      </c>
      <c r="D137" s="2">
        <v>66875277</v>
      </c>
      <c r="E137" s="2">
        <f>7350/3</f>
        <v>2450</v>
      </c>
      <c r="G137" s="2" t="s">
        <v>18</v>
      </c>
      <c r="H137" s="2">
        <v>74</v>
      </c>
      <c r="I137" s="2">
        <v>5124</v>
      </c>
      <c r="J137" s="2">
        <v>37816635</v>
      </c>
      <c r="K137" s="2">
        <f>7489/3</f>
        <v>2496.3333333333335</v>
      </c>
    </row>
    <row r="138" spans="1:11" x14ac:dyDescent="0.25">
      <c r="A138" s="2" t="s">
        <v>19</v>
      </c>
      <c r="B138" s="2">
        <v>96</v>
      </c>
      <c r="C138" s="2">
        <v>15849</v>
      </c>
      <c r="D138" s="2">
        <v>108793477</v>
      </c>
      <c r="E138" s="2">
        <f>6888/3</f>
        <v>2296</v>
      </c>
      <c r="G138" s="2" t="s">
        <v>19</v>
      </c>
      <c r="H138" s="2">
        <v>28</v>
      </c>
      <c r="I138" s="2">
        <v>4092</v>
      </c>
      <c r="J138" s="2">
        <v>37705957</v>
      </c>
      <c r="K138" s="2">
        <f>9227/3</f>
        <v>3075.6666666666665</v>
      </c>
    </row>
    <row r="139" spans="1:11" x14ac:dyDescent="0.25">
      <c r="A139" s="2" t="s">
        <v>20</v>
      </c>
      <c r="B139" s="2">
        <v>30</v>
      </c>
      <c r="C139" s="2">
        <v>10446</v>
      </c>
      <c r="D139" s="2">
        <v>73678957</v>
      </c>
      <c r="E139" s="2">
        <f>7112/3</f>
        <v>2370.6666666666665</v>
      </c>
      <c r="G139" s="2" t="s">
        <v>52</v>
      </c>
      <c r="H139" s="2">
        <v>4</v>
      </c>
      <c r="I139" s="2">
        <v>1443</v>
      </c>
      <c r="J139" s="2">
        <v>7927356</v>
      </c>
      <c r="K139" s="2">
        <f>5545/3</f>
        <v>1848.3333333333333</v>
      </c>
    </row>
    <row r="140" spans="1:11" x14ac:dyDescent="0.25">
      <c r="A140" s="2" t="s">
        <v>22</v>
      </c>
      <c r="B140" s="2">
        <v>21</v>
      </c>
      <c r="C140" s="2">
        <v>14165</v>
      </c>
      <c r="D140" s="2">
        <v>89034053</v>
      </c>
      <c r="E140" s="2">
        <f>6528/3</f>
        <v>2176</v>
      </c>
      <c r="G140" s="2" t="s">
        <v>51</v>
      </c>
      <c r="H140" s="2">
        <f>3+2</f>
        <v>5</v>
      </c>
      <c r="I140" s="2">
        <f>2266+19046</f>
        <v>21312</v>
      </c>
      <c r="J140" s="2">
        <f>20513768+107019083</f>
        <v>127532851</v>
      </c>
      <c r="K140" s="4">
        <f>J140/63966</f>
        <v>1993.7599818653659</v>
      </c>
    </row>
    <row r="141" spans="1:11" x14ac:dyDescent="0.25">
      <c r="A141" s="2" t="s">
        <v>23</v>
      </c>
      <c r="B141" s="2">
        <v>2</v>
      </c>
      <c r="C141" s="2">
        <v>3368</v>
      </c>
      <c r="D141" s="2">
        <v>17807662</v>
      </c>
      <c r="E141" s="2">
        <f>5344/3</f>
        <v>1781.3333333333333</v>
      </c>
    </row>
    <row r="143" spans="1:11" x14ac:dyDescent="0.25">
      <c r="A143" s="30" t="s">
        <v>35</v>
      </c>
      <c r="B143" s="30"/>
      <c r="C143" s="30"/>
      <c r="D143" s="30"/>
      <c r="E143" s="30"/>
      <c r="F143" s="10"/>
      <c r="G143" s="30" t="s">
        <v>36</v>
      </c>
      <c r="H143" s="30"/>
      <c r="I143" s="30"/>
      <c r="J143" s="30"/>
      <c r="K143" s="30"/>
    </row>
    <row r="144" spans="1:11" x14ac:dyDescent="0.25">
      <c r="A144" s="17"/>
      <c r="B144" s="17"/>
      <c r="C144" s="17"/>
      <c r="D144" s="17" t="s">
        <v>1</v>
      </c>
      <c r="E144" s="17" t="s">
        <v>2</v>
      </c>
      <c r="F144" s="18"/>
      <c r="G144" s="17"/>
      <c r="H144" s="17"/>
      <c r="I144" s="17"/>
      <c r="J144" s="17" t="s">
        <v>1</v>
      </c>
      <c r="K144" s="17" t="s">
        <v>2</v>
      </c>
    </row>
    <row r="145" spans="1:24" x14ac:dyDescent="0.25">
      <c r="A145" s="19" t="s">
        <v>3</v>
      </c>
      <c r="B145" s="17" t="s">
        <v>4</v>
      </c>
      <c r="C145" s="17" t="s">
        <v>5</v>
      </c>
      <c r="D145" s="17" t="s">
        <v>6</v>
      </c>
      <c r="E145" s="17" t="s">
        <v>7</v>
      </c>
      <c r="F145" s="18"/>
      <c r="G145" s="19" t="s">
        <v>3</v>
      </c>
      <c r="H145" s="17" t="s">
        <v>4</v>
      </c>
      <c r="I145" s="17" t="s">
        <v>5</v>
      </c>
      <c r="J145" s="17" t="s">
        <v>6</v>
      </c>
      <c r="K145" s="17" t="s">
        <v>7</v>
      </c>
    </row>
    <row r="146" spans="1:24" ht="13.8" thickBot="1" x14ac:dyDescent="0.3">
      <c r="A146" s="14" t="s">
        <v>8</v>
      </c>
      <c r="B146" s="15" t="s">
        <v>9</v>
      </c>
      <c r="C146" s="15" t="s">
        <v>10</v>
      </c>
      <c r="D146" s="15" t="s">
        <v>11</v>
      </c>
      <c r="E146" s="15" t="s">
        <v>12</v>
      </c>
      <c r="F146" s="16"/>
      <c r="G146" s="14" t="s">
        <v>8</v>
      </c>
      <c r="H146" s="15" t="s">
        <v>9</v>
      </c>
      <c r="I146" s="15" t="s">
        <v>10</v>
      </c>
      <c r="J146" s="15" t="s">
        <v>11</v>
      </c>
      <c r="K146" s="15" t="s">
        <v>12</v>
      </c>
    </row>
    <row r="147" spans="1:24" ht="13.8" thickTop="1" x14ac:dyDescent="0.25">
      <c r="O147" s="2" t="s">
        <v>26</v>
      </c>
    </row>
    <row r="148" spans="1:24" s="11" customFormat="1" x14ac:dyDescent="0.25">
      <c r="A148" s="11" t="s">
        <v>25</v>
      </c>
      <c r="B148" s="11">
        <f>SUM(B150:B159)</f>
        <v>8655</v>
      </c>
      <c r="C148" s="11">
        <f>SUM(C150:C159)</f>
        <v>130136</v>
      </c>
      <c r="D148" s="12">
        <f>SUM(D150:D159)</f>
        <v>1182021613</v>
      </c>
      <c r="E148" s="12">
        <f>9128/3</f>
        <v>3042.6666666666665</v>
      </c>
      <c r="G148" s="11" t="s">
        <v>25</v>
      </c>
      <c r="H148" s="11">
        <f>SUM(H150:H159)</f>
        <v>1046</v>
      </c>
      <c r="I148" s="11">
        <f>SUM(I150:I159)</f>
        <v>19909</v>
      </c>
      <c r="J148" s="11">
        <f>SUM(J150:J159)</f>
        <v>118937321</v>
      </c>
      <c r="K148" s="12">
        <f>6068/3</f>
        <v>2022.6666666666667</v>
      </c>
    </row>
    <row r="149" spans="1:24" x14ac:dyDescent="0.25">
      <c r="A149" s="2" t="s">
        <v>26</v>
      </c>
      <c r="G149" s="2" t="s">
        <v>26</v>
      </c>
    </row>
    <row r="150" spans="1:24" x14ac:dyDescent="0.25">
      <c r="A150" s="2" t="s">
        <v>14</v>
      </c>
      <c r="B150" s="2">
        <v>721</v>
      </c>
      <c r="C150" s="2">
        <v>0</v>
      </c>
      <c r="D150" s="2">
        <v>4432183</v>
      </c>
      <c r="E150" s="2">
        <f>11221/3</f>
        <v>3740.3333333333335</v>
      </c>
      <c r="G150" s="2" t="s">
        <v>14</v>
      </c>
      <c r="H150" s="2">
        <v>217</v>
      </c>
      <c r="I150" s="2">
        <v>0</v>
      </c>
      <c r="J150" s="2">
        <v>265770</v>
      </c>
      <c r="K150" s="2">
        <f>4047/3</f>
        <v>1349</v>
      </c>
    </row>
    <row r="151" spans="1:24" x14ac:dyDescent="0.25">
      <c r="A151" s="2" t="s">
        <v>15</v>
      </c>
      <c r="B151" s="2">
        <v>4183</v>
      </c>
      <c r="C151" s="2">
        <v>7727</v>
      </c>
      <c r="D151" s="2">
        <v>71375127</v>
      </c>
      <c r="E151" s="2">
        <f>9296/3</f>
        <v>3098.6666666666665</v>
      </c>
      <c r="G151" s="2" t="s">
        <v>15</v>
      </c>
      <c r="H151" s="2">
        <v>388</v>
      </c>
      <c r="I151" s="2">
        <v>714</v>
      </c>
      <c r="J151" s="2">
        <v>4307087</v>
      </c>
      <c r="K151" s="2">
        <f>6300/3</f>
        <v>2100</v>
      </c>
    </row>
    <row r="152" spans="1:24" x14ac:dyDescent="0.25">
      <c r="A152" s="2" t="s">
        <v>16</v>
      </c>
      <c r="B152" s="2">
        <v>1585</v>
      </c>
      <c r="C152" s="2">
        <v>10727</v>
      </c>
      <c r="D152" s="2">
        <v>77530254</v>
      </c>
      <c r="E152" s="2">
        <f>7330/3</f>
        <v>2443.3333333333335</v>
      </c>
      <c r="G152" s="2" t="s">
        <v>16</v>
      </c>
      <c r="H152" s="2">
        <v>148</v>
      </c>
      <c r="I152" s="2">
        <v>993</v>
      </c>
      <c r="J152" s="2">
        <v>5634902</v>
      </c>
      <c r="K152" s="2">
        <f>6033/3</f>
        <v>2011</v>
      </c>
    </row>
    <row r="153" spans="1:24" x14ac:dyDescent="0.25">
      <c r="A153" s="23" t="s">
        <v>49</v>
      </c>
      <c r="B153" s="2">
        <v>1127</v>
      </c>
      <c r="C153" s="2">
        <v>15068</v>
      </c>
      <c r="D153" s="2">
        <v>109621859</v>
      </c>
      <c r="E153" s="2">
        <f>7353/3</f>
        <v>2451</v>
      </c>
      <c r="G153" s="23" t="s">
        <v>49</v>
      </c>
      <c r="H153" s="2">
        <v>113</v>
      </c>
      <c r="I153" s="2">
        <v>1539</v>
      </c>
      <c r="J153" s="2">
        <v>6137856</v>
      </c>
      <c r="K153" s="2">
        <f>4270/3</f>
        <v>1423.3333333333333</v>
      </c>
    </row>
    <row r="154" spans="1:24" x14ac:dyDescent="0.25">
      <c r="A154" s="2" t="s">
        <v>17</v>
      </c>
      <c r="B154" s="2">
        <v>641</v>
      </c>
      <c r="C154" s="2">
        <v>19203</v>
      </c>
      <c r="D154" s="2">
        <v>157805606</v>
      </c>
      <c r="E154" s="2">
        <f>8306/3</f>
        <v>2768.6666666666665</v>
      </c>
      <c r="G154" s="2" t="s">
        <v>17</v>
      </c>
      <c r="H154" s="2">
        <v>109</v>
      </c>
      <c r="I154" s="2">
        <v>3417</v>
      </c>
      <c r="J154" s="2">
        <v>13964622</v>
      </c>
      <c r="K154" s="2">
        <f>4288/3</f>
        <v>1429.3333333333333</v>
      </c>
    </row>
    <row r="155" spans="1:24" x14ac:dyDescent="0.25">
      <c r="A155" s="2" t="s">
        <v>18</v>
      </c>
      <c r="B155" s="2">
        <v>231</v>
      </c>
      <c r="C155" s="2">
        <v>16494</v>
      </c>
      <c r="D155" s="2">
        <v>125802730</v>
      </c>
      <c r="E155" s="2">
        <f>7754/3</f>
        <v>2584.6666666666665</v>
      </c>
      <c r="G155" s="2" t="s">
        <v>18</v>
      </c>
      <c r="H155" s="2">
        <v>41</v>
      </c>
      <c r="I155" s="2">
        <v>2802</v>
      </c>
      <c r="J155" s="2">
        <v>12991615</v>
      </c>
      <c r="K155" s="2">
        <f>4684/3</f>
        <v>1561.3333333333333</v>
      </c>
    </row>
    <row r="156" spans="1:24" x14ac:dyDescent="0.25">
      <c r="A156" s="2" t="s">
        <v>19</v>
      </c>
      <c r="B156" s="2">
        <v>119</v>
      </c>
      <c r="C156" s="2">
        <v>17556</v>
      </c>
      <c r="D156" s="2">
        <v>153697943</v>
      </c>
      <c r="E156" s="2">
        <f>8799/3</f>
        <v>2933</v>
      </c>
      <c r="G156" s="2" t="s">
        <v>19</v>
      </c>
      <c r="H156" s="2">
        <v>20</v>
      </c>
      <c r="I156" s="2">
        <v>3267</v>
      </c>
      <c r="J156" s="2">
        <v>14608056</v>
      </c>
      <c r="K156" s="2">
        <f>4452/3</f>
        <v>1484</v>
      </c>
    </row>
    <row r="157" spans="1:24" x14ac:dyDescent="0.25">
      <c r="A157" s="2" t="s">
        <v>20</v>
      </c>
      <c r="B157" s="2">
        <v>20</v>
      </c>
      <c r="C157" s="2">
        <v>6683</v>
      </c>
      <c r="D157" s="2">
        <v>71402881</v>
      </c>
      <c r="E157" s="2">
        <f>10796/3</f>
        <v>3598.6666666666665</v>
      </c>
      <c r="G157" s="2" t="s">
        <v>20</v>
      </c>
      <c r="H157" s="2">
        <v>7</v>
      </c>
      <c r="I157" s="2">
        <v>2585</v>
      </c>
      <c r="J157" s="2">
        <v>36454966</v>
      </c>
      <c r="K157" s="2">
        <f>14290/3</f>
        <v>4763.333333333333</v>
      </c>
      <c r="X157" s="2" t="s">
        <v>26</v>
      </c>
    </row>
    <row r="158" spans="1:24" x14ac:dyDescent="0.25">
      <c r="A158" s="2" t="s">
        <v>22</v>
      </c>
      <c r="B158" s="2">
        <v>18</v>
      </c>
      <c r="C158" s="2">
        <v>12065</v>
      </c>
      <c r="D158" s="2">
        <v>113026585</v>
      </c>
      <c r="E158" s="2">
        <f>9424/3</f>
        <v>3141.3333333333335</v>
      </c>
      <c r="G158" s="2" t="s">
        <v>27</v>
      </c>
      <c r="H158" s="2">
        <v>3</v>
      </c>
      <c r="I158" s="2">
        <v>4592</v>
      </c>
      <c r="J158" s="2">
        <v>24572447</v>
      </c>
      <c r="K158" s="2">
        <f>5323/3</f>
        <v>1774.3333333333333</v>
      </c>
    </row>
    <row r="159" spans="1:24" x14ac:dyDescent="0.25">
      <c r="A159" s="2" t="s">
        <v>23</v>
      </c>
      <c r="B159" s="2">
        <v>10</v>
      </c>
      <c r="C159" s="2">
        <v>24613</v>
      </c>
      <c r="D159" s="2">
        <v>297326445</v>
      </c>
      <c r="E159" s="2">
        <f>12066/3</f>
        <v>4022</v>
      </c>
      <c r="G159" s="2" t="s">
        <v>26</v>
      </c>
      <c r="H159" s="2" t="s">
        <v>26</v>
      </c>
      <c r="J159" s="2" t="s">
        <v>26</v>
      </c>
      <c r="K159" s="2" t="s">
        <v>26</v>
      </c>
    </row>
    <row r="161" spans="1:29" x14ac:dyDescent="0.25">
      <c r="A161" s="30" t="s">
        <v>37</v>
      </c>
      <c r="B161" s="30"/>
      <c r="C161" s="30"/>
      <c r="D161" s="30"/>
      <c r="E161" s="30"/>
      <c r="F161" s="10"/>
      <c r="G161" s="30" t="s">
        <v>38</v>
      </c>
      <c r="H161" s="30"/>
      <c r="I161" s="30"/>
      <c r="J161" s="30"/>
      <c r="K161" s="30"/>
    </row>
    <row r="162" spans="1:29" x14ac:dyDescent="0.25">
      <c r="A162" s="17"/>
      <c r="B162" s="17"/>
      <c r="C162" s="17"/>
      <c r="D162" s="17" t="s">
        <v>1</v>
      </c>
      <c r="E162" s="17" t="s">
        <v>2</v>
      </c>
      <c r="F162" s="18"/>
      <c r="G162" s="17"/>
      <c r="H162" s="17"/>
      <c r="I162" s="17"/>
      <c r="J162" s="17" t="s">
        <v>1</v>
      </c>
      <c r="K162" s="17" t="s">
        <v>2</v>
      </c>
    </row>
    <row r="163" spans="1:29" x14ac:dyDescent="0.25">
      <c r="A163" s="19" t="s">
        <v>3</v>
      </c>
      <c r="B163" s="17" t="s">
        <v>4</v>
      </c>
      <c r="C163" s="17" t="s">
        <v>5</v>
      </c>
      <c r="D163" s="17" t="s">
        <v>6</v>
      </c>
      <c r="E163" s="17" t="s">
        <v>7</v>
      </c>
      <c r="F163" s="18"/>
      <c r="G163" s="19" t="s">
        <v>3</v>
      </c>
      <c r="H163" s="17" t="s">
        <v>4</v>
      </c>
      <c r="I163" s="17" t="s">
        <v>5</v>
      </c>
      <c r="J163" s="17" t="s">
        <v>6</v>
      </c>
      <c r="K163" s="17" t="s">
        <v>7</v>
      </c>
    </row>
    <row r="164" spans="1:29" ht="13.8" thickBot="1" x14ac:dyDescent="0.3">
      <c r="A164" s="14" t="s">
        <v>8</v>
      </c>
      <c r="B164" s="15" t="s">
        <v>9</v>
      </c>
      <c r="C164" s="15" t="s">
        <v>10</v>
      </c>
      <c r="D164" s="15" t="s">
        <v>11</v>
      </c>
      <c r="E164" s="15" t="s">
        <v>12</v>
      </c>
      <c r="F164" s="16"/>
      <c r="G164" s="14" t="s">
        <v>8</v>
      </c>
      <c r="H164" s="15" t="s">
        <v>9</v>
      </c>
      <c r="I164" s="15" t="s">
        <v>10</v>
      </c>
      <c r="J164" s="15" t="s">
        <v>11</v>
      </c>
      <c r="K164" s="15" t="s">
        <v>12</v>
      </c>
    </row>
    <row r="165" spans="1:29" ht="13.8" thickTop="1" x14ac:dyDescent="0.25"/>
    <row r="166" spans="1:29" s="11" customFormat="1" x14ac:dyDescent="0.25">
      <c r="A166" s="11" t="s">
        <v>25</v>
      </c>
      <c r="B166" s="11">
        <f>SUM(B168:B176)</f>
        <v>5128</v>
      </c>
      <c r="C166" s="11">
        <f>SUM(C168:C176)</f>
        <v>103015</v>
      </c>
      <c r="D166" s="11">
        <f>SUM(D168:D176)</f>
        <v>389638619</v>
      </c>
      <c r="E166" s="12">
        <f>3851/3</f>
        <v>1283.6666666666667</v>
      </c>
      <c r="G166" s="11" t="s">
        <v>25</v>
      </c>
      <c r="H166" s="11">
        <v>4923</v>
      </c>
      <c r="I166" s="11">
        <v>36164</v>
      </c>
      <c r="J166" s="12">
        <v>274269767</v>
      </c>
      <c r="K166" s="12">
        <v>2561.4495031566362</v>
      </c>
      <c r="AA166" s="20"/>
    </row>
    <row r="167" spans="1:29" x14ac:dyDescent="0.25">
      <c r="A167" s="2" t="s">
        <v>26</v>
      </c>
      <c r="G167" s="2" t="s">
        <v>26</v>
      </c>
    </row>
    <row r="168" spans="1:29" x14ac:dyDescent="0.25">
      <c r="A168" s="2" t="s">
        <v>14</v>
      </c>
      <c r="B168" s="2">
        <v>359</v>
      </c>
      <c r="C168" s="2">
        <v>0</v>
      </c>
      <c r="D168" s="2">
        <v>1399702</v>
      </c>
      <c r="E168" s="2">
        <f>3565/3</f>
        <v>1188.3333333333333</v>
      </c>
      <c r="G168" s="2" t="s">
        <v>14</v>
      </c>
      <c r="H168" s="2">
        <v>463</v>
      </c>
      <c r="I168" s="2">
        <v>0</v>
      </c>
      <c r="J168" s="2">
        <v>1240961</v>
      </c>
      <c r="K168" s="2">
        <v>2618.0611814345993</v>
      </c>
      <c r="O168" s="4"/>
      <c r="P168" s="4"/>
      <c r="Y168" s="1"/>
      <c r="Z168" s="1"/>
      <c r="AA168" s="1"/>
      <c r="AB168" s="1"/>
      <c r="AC168" s="1"/>
    </row>
    <row r="169" spans="1:29" x14ac:dyDescent="0.25">
      <c r="A169" s="2" t="s">
        <v>15</v>
      </c>
      <c r="B169" s="2">
        <v>808</v>
      </c>
      <c r="C169" s="2">
        <v>1980</v>
      </c>
      <c r="D169" s="2">
        <v>7796817</v>
      </c>
      <c r="E169" s="2">
        <f>3979/3</f>
        <v>1326.3333333333333</v>
      </c>
      <c r="G169" s="2" t="s">
        <v>15</v>
      </c>
      <c r="H169" s="2">
        <v>2579</v>
      </c>
      <c r="I169" s="2">
        <v>5322</v>
      </c>
      <c r="J169" s="2">
        <v>36309871</v>
      </c>
      <c r="K169" s="2">
        <v>2294.8976741246365</v>
      </c>
      <c r="O169" s="4"/>
      <c r="P169" s="4"/>
      <c r="Y169" s="1"/>
      <c r="Z169" s="1"/>
      <c r="AA169" s="1"/>
      <c r="AB169" s="1"/>
      <c r="AC169" s="1"/>
    </row>
    <row r="170" spans="1:29" x14ac:dyDescent="0.25">
      <c r="A170" s="2" t="s">
        <v>16</v>
      </c>
      <c r="B170" s="2">
        <v>902</v>
      </c>
      <c r="C170" s="2">
        <v>6306</v>
      </c>
      <c r="D170" s="2">
        <v>18315545</v>
      </c>
      <c r="E170" s="2">
        <f>2993/3</f>
        <v>997.66666666666663</v>
      </c>
      <c r="G170" s="2" t="s">
        <v>16</v>
      </c>
      <c r="H170" s="2">
        <v>1051</v>
      </c>
      <c r="I170" s="2">
        <v>6985</v>
      </c>
      <c r="J170" s="2">
        <v>45120031</v>
      </c>
      <c r="K170" s="2">
        <v>2194.9810760848413</v>
      </c>
      <c r="O170" s="4"/>
      <c r="P170" s="4"/>
      <c r="Y170" s="1"/>
      <c r="Z170" s="1"/>
      <c r="AA170" s="1"/>
      <c r="AB170" s="1"/>
      <c r="AC170" s="1"/>
    </row>
    <row r="171" spans="1:29" x14ac:dyDescent="0.25">
      <c r="A171" s="23" t="s">
        <v>49</v>
      </c>
      <c r="B171" s="2">
        <v>1324</v>
      </c>
      <c r="C171" s="2">
        <v>18937</v>
      </c>
      <c r="D171" s="2">
        <v>59505772</v>
      </c>
      <c r="E171" s="2">
        <f>3231/3</f>
        <v>1077</v>
      </c>
      <c r="G171" s="23" t="s">
        <v>49</v>
      </c>
      <c r="H171" s="2">
        <v>574</v>
      </c>
      <c r="I171" s="2">
        <v>7476</v>
      </c>
      <c r="J171" s="2">
        <v>51847250</v>
      </c>
      <c r="K171" s="2">
        <v>2346.3479205321987</v>
      </c>
      <c r="O171" s="4"/>
      <c r="P171" s="4"/>
      <c r="Y171" s="1"/>
      <c r="Z171" s="1"/>
      <c r="AA171" s="1"/>
      <c r="AB171" s="1"/>
      <c r="AC171" s="1"/>
    </row>
    <row r="172" spans="1:29" x14ac:dyDescent="0.25">
      <c r="A172" s="2" t="s">
        <v>17</v>
      </c>
      <c r="B172" s="2">
        <v>1365</v>
      </c>
      <c r="C172" s="2">
        <v>40773</v>
      </c>
      <c r="D172" s="2">
        <v>136982496</v>
      </c>
      <c r="E172" s="2">
        <f>3433/3</f>
        <v>1144.3333333333333</v>
      </c>
      <c r="G172" s="2" t="s">
        <v>17</v>
      </c>
      <c r="H172" s="2">
        <v>176</v>
      </c>
      <c r="I172" s="2">
        <v>5166</v>
      </c>
      <c r="J172" s="2">
        <v>40004316</v>
      </c>
      <c r="K172" s="2">
        <v>2620.999541374566</v>
      </c>
      <c r="O172" s="4"/>
      <c r="P172" s="4"/>
      <c r="Y172" s="1"/>
      <c r="Z172" s="1"/>
      <c r="AA172" s="1"/>
      <c r="AB172" s="1"/>
      <c r="AC172" s="1"/>
    </row>
    <row r="173" spans="1:29" x14ac:dyDescent="0.25">
      <c r="A173" s="2" t="s">
        <v>18</v>
      </c>
      <c r="B173" s="2">
        <v>294</v>
      </c>
      <c r="C173" s="2">
        <v>19017</v>
      </c>
      <c r="D173" s="2">
        <v>75194391</v>
      </c>
      <c r="E173" s="2">
        <f>4044/3</f>
        <v>1348</v>
      </c>
      <c r="G173" s="2" t="s">
        <v>18</v>
      </c>
      <c r="H173" s="2">
        <v>48</v>
      </c>
      <c r="I173" s="2">
        <v>3240</v>
      </c>
      <c r="J173" s="2">
        <v>25363785</v>
      </c>
      <c r="K173" s="2">
        <v>2619.4139213053804</v>
      </c>
      <c r="O173" s="4"/>
      <c r="P173" s="4"/>
      <c r="Y173" s="1"/>
      <c r="Z173" s="1"/>
      <c r="AA173" s="1"/>
      <c r="AB173" s="1"/>
      <c r="AC173" s="1"/>
    </row>
    <row r="174" spans="1:29" x14ac:dyDescent="0.25">
      <c r="A174" s="2" t="s">
        <v>19</v>
      </c>
      <c r="B174" s="2">
        <v>62</v>
      </c>
      <c r="C174" s="2">
        <v>8148</v>
      </c>
      <c r="D174" s="2">
        <v>39355672</v>
      </c>
      <c r="E174" s="2">
        <f>5043/3</f>
        <v>1681</v>
      </c>
      <c r="G174" s="2" t="s">
        <v>19</v>
      </c>
      <c r="H174" s="2">
        <v>21</v>
      </c>
      <c r="I174" s="2">
        <v>2896</v>
      </c>
      <c r="J174" s="2">
        <v>21741306</v>
      </c>
      <c r="K174" s="2">
        <v>2532.7709692451072</v>
      </c>
      <c r="O174" s="4"/>
      <c r="P174" s="4"/>
      <c r="Y174" s="1"/>
      <c r="Z174" s="1"/>
      <c r="AA174" s="1"/>
      <c r="AB174" s="1"/>
      <c r="AC174" s="1"/>
    </row>
    <row r="175" spans="1:29" x14ac:dyDescent="0.25">
      <c r="A175" s="2" t="s">
        <v>20</v>
      </c>
      <c r="B175" s="2">
        <v>9</v>
      </c>
      <c r="C175" s="2">
        <v>3014</v>
      </c>
      <c r="D175" s="2">
        <v>21399961</v>
      </c>
      <c r="E175" s="2">
        <f>7017/3</f>
        <v>2339</v>
      </c>
      <c r="G175" s="2" t="s">
        <v>20</v>
      </c>
      <c r="H175" s="2">
        <v>7</v>
      </c>
      <c r="I175" s="2">
        <v>2563</v>
      </c>
      <c r="J175" s="2">
        <v>18205036</v>
      </c>
      <c r="K175" s="2">
        <v>2371.0648606407917</v>
      </c>
      <c r="O175" s="4"/>
      <c r="P175" s="4"/>
      <c r="Y175" s="1"/>
      <c r="Z175" s="1"/>
      <c r="AA175" s="1"/>
      <c r="AB175" s="1"/>
      <c r="AC175" s="1"/>
    </row>
    <row r="176" spans="1:29" x14ac:dyDescent="0.25">
      <c r="A176" s="2" t="s">
        <v>27</v>
      </c>
      <c r="B176" s="2">
        <f>3+2</f>
        <v>5</v>
      </c>
      <c r="C176" s="2">
        <f>1752+3088</f>
        <v>4840</v>
      </c>
      <c r="D176" s="2">
        <f>12442525+17245738</f>
        <v>29688263</v>
      </c>
      <c r="E176" s="4">
        <f>D176/14807</f>
        <v>2005.0153981225096</v>
      </c>
      <c r="G176" s="2" t="s">
        <v>47</v>
      </c>
      <c r="H176" s="2">
        <v>4</v>
      </c>
      <c r="I176" s="2">
        <v>2516</v>
      </c>
      <c r="J176" s="2">
        <v>34437211</v>
      </c>
      <c r="K176" s="2">
        <v>4977.1948258418843</v>
      </c>
      <c r="O176" s="4"/>
      <c r="P176" s="4"/>
      <c r="Y176" s="1"/>
      <c r="Z176" s="1"/>
      <c r="AA176" s="1"/>
      <c r="AB176" s="1"/>
      <c r="AC176" s="1"/>
    </row>
    <row r="177" spans="1:29" x14ac:dyDescent="0.25">
      <c r="O177" s="4"/>
      <c r="P177" s="4"/>
      <c r="Y177" s="1"/>
      <c r="Z177" s="1"/>
      <c r="AA177" s="1"/>
      <c r="AB177" s="1"/>
      <c r="AC177" s="1"/>
    </row>
    <row r="178" spans="1:29" x14ac:dyDescent="0.25">
      <c r="A178" s="30" t="s">
        <v>46</v>
      </c>
      <c r="B178" s="30"/>
      <c r="C178" s="30"/>
      <c r="D178" s="30"/>
      <c r="E178" s="30"/>
      <c r="F178" s="10"/>
      <c r="G178" s="30" t="s">
        <v>39</v>
      </c>
      <c r="H178" s="30"/>
      <c r="I178" s="30"/>
      <c r="J178" s="30"/>
      <c r="K178" s="30"/>
    </row>
    <row r="179" spans="1:29" x14ac:dyDescent="0.25">
      <c r="A179" s="18"/>
      <c r="B179" s="17"/>
      <c r="C179" s="17"/>
      <c r="D179" s="17" t="s">
        <v>1</v>
      </c>
      <c r="E179" s="17" t="s">
        <v>2</v>
      </c>
      <c r="F179" s="18"/>
      <c r="G179" s="18"/>
      <c r="H179" s="17"/>
      <c r="I179" s="17"/>
      <c r="J179" s="17" t="s">
        <v>1</v>
      </c>
      <c r="K179" s="17" t="s">
        <v>2</v>
      </c>
    </row>
    <row r="180" spans="1:29" x14ac:dyDescent="0.25">
      <c r="A180" s="19" t="s">
        <v>3</v>
      </c>
      <c r="B180" s="17" t="s">
        <v>4</v>
      </c>
      <c r="C180" s="17" t="s">
        <v>5</v>
      </c>
      <c r="D180" s="17" t="s">
        <v>6</v>
      </c>
      <c r="E180" s="17" t="s">
        <v>7</v>
      </c>
      <c r="F180" s="18"/>
      <c r="G180" s="19" t="s">
        <v>3</v>
      </c>
      <c r="H180" s="17" t="s">
        <v>4</v>
      </c>
      <c r="I180" s="17" t="s">
        <v>5</v>
      </c>
      <c r="J180" s="17" t="s">
        <v>6</v>
      </c>
      <c r="K180" s="17" t="s">
        <v>7</v>
      </c>
    </row>
    <row r="181" spans="1:29" ht="13.8" thickBot="1" x14ac:dyDescent="0.3">
      <c r="A181" s="14" t="s">
        <v>8</v>
      </c>
      <c r="B181" s="15" t="s">
        <v>9</v>
      </c>
      <c r="C181" s="15" t="s">
        <v>10</v>
      </c>
      <c r="D181" s="15" t="s">
        <v>11</v>
      </c>
      <c r="E181" s="15" t="s">
        <v>12</v>
      </c>
      <c r="F181" s="16"/>
      <c r="G181" s="14" t="s">
        <v>8</v>
      </c>
      <c r="H181" s="15" t="s">
        <v>9</v>
      </c>
      <c r="I181" s="15" t="s">
        <v>10</v>
      </c>
      <c r="J181" s="15" t="s">
        <v>11</v>
      </c>
      <c r="K181" s="15" t="s">
        <v>12</v>
      </c>
    </row>
    <row r="182" spans="1:29" ht="13.8" thickTop="1" x14ac:dyDescent="0.25"/>
    <row r="183" spans="1:29" s="11" customFormat="1" x14ac:dyDescent="0.25">
      <c r="A183" s="11" t="s">
        <v>25</v>
      </c>
      <c r="B183" s="11">
        <f>SUM(B185:B194)</f>
        <v>3757</v>
      </c>
      <c r="C183" s="11">
        <f>SUM(C185:C194)</f>
        <v>226172</v>
      </c>
      <c r="D183" s="12">
        <f>SUM(D185:D194)</f>
        <v>2260450056</v>
      </c>
      <c r="E183" s="21">
        <f>10028/3</f>
        <v>3342.6666666666665</v>
      </c>
      <c r="G183" s="11" t="s">
        <v>25</v>
      </c>
      <c r="H183" s="11">
        <f>SUM(H185:H194)</f>
        <v>546</v>
      </c>
      <c r="I183" s="11">
        <f>SUM(I185:I194)</f>
        <v>34697</v>
      </c>
      <c r="J183" s="12">
        <f>SUM(J185:J194)</f>
        <v>561858589</v>
      </c>
      <c r="K183" s="12">
        <f>16339/3</f>
        <v>5446.333333333333</v>
      </c>
    </row>
    <row r="184" spans="1:29" x14ac:dyDescent="0.25">
      <c r="A184" s="2" t="s">
        <v>26</v>
      </c>
      <c r="G184" s="2" t="s">
        <v>26</v>
      </c>
    </row>
    <row r="185" spans="1:29" x14ac:dyDescent="0.25">
      <c r="A185" s="2" t="s">
        <v>14</v>
      </c>
      <c r="B185" s="2">
        <v>64</v>
      </c>
      <c r="C185" s="2">
        <v>0</v>
      </c>
      <c r="D185" s="2">
        <v>106228</v>
      </c>
      <c r="E185" s="2">
        <f>24514/3</f>
        <v>8171.333333333333</v>
      </c>
      <c r="G185" s="2" t="s">
        <v>14</v>
      </c>
      <c r="H185" s="2">
        <v>21</v>
      </c>
      <c r="I185" s="2">
        <v>0</v>
      </c>
      <c r="J185" s="2">
        <v>47443</v>
      </c>
      <c r="K185" s="2">
        <f>20333/3</f>
        <v>6777.666666666667</v>
      </c>
    </row>
    <row r="186" spans="1:29" x14ac:dyDescent="0.25">
      <c r="A186" s="2" t="s">
        <v>15</v>
      </c>
      <c r="B186" s="2">
        <v>780</v>
      </c>
      <c r="C186" s="2">
        <v>1837</v>
      </c>
      <c r="D186" s="2">
        <v>18032249</v>
      </c>
      <c r="E186" s="2">
        <f>9731/3</f>
        <v>3243.6666666666665</v>
      </c>
      <c r="G186" s="2" t="s">
        <v>15</v>
      </c>
      <c r="H186" s="2">
        <v>245</v>
      </c>
      <c r="I186" s="2">
        <v>527</v>
      </c>
      <c r="J186" s="2">
        <v>6160928</v>
      </c>
      <c r="K186" s="2">
        <f>11603/3</f>
        <v>3867.6666666666665</v>
      </c>
    </row>
    <row r="187" spans="1:29" x14ac:dyDescent="0.25">
      <c r="A187" s="2" t="s">
        <v>16</v>
      </c>
      <c r="B187" s="2">
        <v>676</v>
      </c>
      <c r="C187" s="2">
        <v>4470</v>
      </c>
      <c r="D187" s="2">
        <v>36738812</v>
      </c>
      <c r="E187" s="2">
        <f>8240/3</f>
        <v>2746.6666666666665</v>
      </c>
      <c r="G187" s="2" t="s">
        <v>16</v>
      </c>
      <c r="H187" s="2">
        <v>72</v>
      </c>
      <c r="I187" s="2">
        <v>493</v>
      </c>
      <c r="J187" s="2">
        <v>6465810</v>
      </c>
      <c r="K187" s="2">
        <f>13169/3</f>
        <v>4389.666666666667</v>
      </c>
    </row>
    <row r="188" spans="1:29" x14ac:dyDescent="0.25">
      <c r="A188" s="23" t="s">
        <v>49</v>
      </c>
      <c r="B188" s="2">
        <v>491</v>
      </c>
      <c r="C188" s="2">
        <v>6885</v>
      </c>
      <c r="D188" s="2">
        <v>65072220</v>
      </c>
      <c r="E188" s="2">
        <f>9493/3</f>
        <v>3164.3333333333335</v>
      </c>
      <c r="G188" s="23" t="s">
        <v>49</v>
      </c>
      <c r="H188" s="2">
        <v>74</v>
      </c>
      <c r="I188" s="2">
        <v>1073</v>
      </c>
      <c r="J188" s="2">
        <v>15536433</v>
      </c>
      <c r="K188" s="2">
        <f>14666/3</f>
        <v>4888.666666666667</v>
      </c>
    </row>
    <row r="189" spans="1:29" x14ac:dyDescent="0.25">
      <c r="A189" s="2" t="s">
        <v>17</v>
      </c>
      <c r="B189" s="2">
        <v>687</v>
      </c>
      <c r="C189" s="2">
        <v>22193</v>
      </c>
      <c r="D189" s="2">
        <v>205349906</v>
      </c>
      <c r="E189" s="2">
        <f>9202/3</f>
        <v>3067.3333333333335</v>
      </c>
      <c r="G189" s="2" t="s">
        <v>17</v>
      </c>
      <c r="H189" s="2">
        <v>57</v>
      </c>
      <c r="I189" s="2">
        <v>1966</v>
      </c>
      <c r="J189" s="2">
        <v>29078494</v>
      </c>
      <c r="K189" s="2">
        <f>14803/3</f>
        <v>4934.333333333333</v>
      </c>
    </row>
    <row r="190" spans="1:29" x14ac:dyDescent="0.25">
      <c r="A190" s="2" t="s">
        <v>18</v>
      </c>
      <c r="B190" s="2">
        <v>717</v>
      </c>
      <c r="C190" s="2">
        <v>49080</v>
      </c>
      <c r="D190" s="2">
        <v>417887997</v>
      </c>
      <c r="E190" s="2">
        <f>8533/3</f>
        <v>2844.3333333333335</v>
      </c>
      <c r="F190" s="2" t="s">
        <v>26</v>
      </c>
      <c r="G190" s="2" t="s">
        <v>18</v>
      </c>
      <c r="H190" s="2">
        <v>42</v>
      </c>
      <c r="I190" s="2">
        <v>2914</v>
      </c>
      <c r="J190" s="2">
        <v>46117378</v>
      </c>
      <c r="K190" s="2">
        <f>15860/3</f>
        <v>5286.666666666667</v>
      </c>
    </row>
    <row r="191" spans="1:29" x14ac:dyDescent="0.25">
      <c r="A191" s="2" t="s">
        <v>19</v>
      </c>
      <c r="B191" s="2">
        <v>236</v>
      </c>
      <c r="C191" s="2">
        <v>34500</v>
      </c>
      <c r="D191" s="2">
        <v>299381740</v>
      </c>
      <c r="E191" s="2">
        <f>8711/3</f>
        <v>2903.6666666666665</v>
      </c>
      <c r="G191" s="2" t="s">
        <v>19</v>
      </c>
      <c r="H191" s="2">
        <v>20</v>
      </c>
      <c r="I191" s="2">
        <v>3202</v>
      </c>
      <c r="J191" s="2">
        <v>51140115</v>
      </c>
      <c r="K191" s="2">
        <f>16166/3</f>
        <v>5388.666666666667</v>
      </c>
    </row>
    <row r="192" spans="1:29" x14ac:dyDescent="0.25">
      <c r="A192" s="2" t="s">
        <v>20</v>
      </c>
      <c r="B192" s="2">
        <v>59</v>
      </c>
      <c r="C192" s="2">
        <v>20534</v>
      </c>
      <c r="D192" s="2">
        <v>205563605</v>
      </c>
      <c r="E192" s="2">
        <f>10067/3</f>
        <v>3355.6666666666665</v>
      </c>
      <c r="G192" s="2" t="s">
        <v>20</v>
      </c>
      <c r="H192" s="2">
        <v>8</v>
      </c>
      <c r="I192" s="2">
        <v>2885</v>
      </c>
      <c r="J192" s="2">
        <v>56058254</v>
      </c>
      <c r="K192" s="2">
        <f>19400/3</f>
        <v>6466.666666666667</v>
      </c>
    </row>
    <row r="193" spans="1:11" x14ac:dyDescent="0.25">
      <c r="A193" s="2" t="s">
        <v>22</v>
      </c>
      <c r="B193" s="2">
        <v>31</v>
      </c>
      <c r="C193" s="2">
        <v>20721</v>
      </c>
      <c r="D193" s="2">
        <v>192528471</v>
      </c>
      <c r="E193" s="2">
        <f>9300/3</f>
        <v>3100</v>
      </c>
      <c r="G193" s="2" t="s">
        <v>48</v>
      </c>
      <c r="H193" s="2">
        <v>4</v>
      </c>
      <c r="I193" s="2">
        <v>2480</v>
      </c>
      <c r="J193" s="2">
        <v>33673428</v>
      </c>
      <c r="K193" s="2">
        <f>13241/3</f>
        <v>4413.666666666667</v>
      </c>
    </row>
    <row r="194" spans="1:11" x14ac:dyDescent="0.25">
      <c r="A194" s="2" t="s">
        <v>23</v>
      </c>
      <c r="B194" s="2">
        <v>16</v>
      </c>
      <c r="C194" s="2">
        <v>65952</v>
      </c>
      <c r="D194" s="2">
        <v>819788828</v>
      </c>
      <c r="E194" s="2">
        <f>12523/3</f>
        <v>4174.333333333333</v>
      </c>
      <c r="G194" s="2" t="s">
        <v>23</v>
      </c>
      <c r="H194" s="2">
        <v>3</v>
      </c>
      <c r="I194" s="2">
        <v>19157</v>
      </c>
      <c r="J194" s="2">
        <v>317580306</v>
      </c>
      <c r="K194" s="2">
        <f>16861/3</f>
        <v>5620.333333333333</v>
      </c>
    </row>
    <row r="196" spans="1:11" x14ac:dyDescent="0.25">
      <c r="A196" s="30" t="s">
        <v>40</v>
      </c>
      <c r="B196" s="30"/>
      <c r="C196" s="30"/>
      <c r="D196" s="30"/>
      <c r="E196" s="30"/>
      <c r="F196" s="10"/>
      <c r="G196" s="30" t="s">
        <v>41</v>
      </c>
      <c r="H196" s="30"/>
      <c r="I196" s="30"/>
      <c r="J196" s="30"/>
      <c r="K196" s="30"/>
    </row>
    <row r="197" spans="1:11" x14ac:dyDescent="0.25">
      <c r="A197" s="18"/>
      <c r="B197" s="17"/>
      <c r="C197" s="17"/>
      <c r="D197" s="17" t="s">
        <v>1</v>
      </c>
      <c r="E197" s="17" t="s">
        <v>2</v>
      </c>
      <c r="F197" s="18"/>
      <c r="G197" s="18"/>
      <c r="H197" s="17"/>
      <c r="I197" s="17"/>
      <c r="J197" s="17" t="s">
        <v>1</v>
      </c>
      <c r="K197" s="17" t="s">
        <v>2</v>
      </c>
    </row>
    <row r="198" spans="1:11" x14ac:dyDescent="0.25">
      <c r="A198" s="19" t="s">
        <v>3</v>
      </c>
      <c r="B198" s="17" t="s">
        <v>4</v>
      </c>
      <c r="C198" s="17" t="s">
        <v>5</v>
      </c>
      <c r="D198" s="17" t="s">
        <v>6</v>
      </c>
      <c r="E198" s="17" t="s">
        <v>7</v>
      </c>
      <c r="F198" s="18"/>
      <c r="G198" s="19" t="s">
        <v>3</v>
      </c>
      <c r="H198" s="17" t="s">
        <v>4</v>
      </c>
      <c r="I198" s="17" t="s">
        <v>5</v>
      </c>
      <c r="J198" s="17" t="s">
        <v>6</v>
      </c>
      <c r="K198" s="17" t="s">
        <v>7</v>
      </c>
    </row>
    <row r="199" spans="1:11" ht="13.8" thickBot="1" x14ac:dyDescent="0.3">
      <c r="A199" s="14" t="s">
        <v>8</v>
      </c>
      <c r="B199" s="15" t="s">
        <v>9</v>
      </c>
      <c r="C199" s="15" t="s">
        <v>10</v>
      </c>
      <c r="D199" s="15" t="s">
        <v>11</v>
      </c>
      <c r="E199" s="15" t="s">
        <v>12</v>
      </c>
      <c r="F199" s="16"/>
      <c r="G199" s="14" t="s">
        <v>8</v>
      </c>
      <c r="H199" s="15" t="s">
        <v>9</v>
      </c>
      <c r="I199" s="15" t="s">
        <v>10</v>
      </c>
      <c r="J199" s="15" t="s">
        <v>11</v>
      </c>
      <c r="K199" s="15" t="s">
        <v>12</v>
      </c>
    </row>
    <row r="200" spans="1:11" ht="13.8" thickTop="1" x14ac:dyDescent="0.25"/>
    <row r="201" spans="1:11" s="11" customFormat="1" x14ac:dyDescent="0.25">
      <c r="A201" s="11" t="s">
        <v>25</v>
      </c>
      <c r="B201" s="3">
        <f>SUM(B203:B213)</f>
        <v>28</v>
      </c>
      <c r="C201" s="3">
        <f>SUM(C203:C213)</f>
        <v>13905</v>
      </c>
      <c r="D201" s="22">
        <f>SUM(D203:D213)</f>
        <v>260391323</v>
      </c>
      <c r="E201" s="22">
        <f>18740/3</f>
        <v>6246.666666666667</v>
      </c>
      <c r="G201" s="11" t="s">
        <v>25</v>
      </c>
      <c r="H201" s="11">
        <f>SUM(H203:H212)</f>
        <v>551</v>
      </c>
      <c r="I201" s="11">
        <f>SUM(I203:I212)</f>
        <v>70697</v>
      </c>
      <c r="J201" s="12">
        <f>SUM(J203:J212)</f>
        <v>747069052</v>
      </c>
      <c r="K201" s="12">
        <f>10631/3</f>
        <v>3543.6666666666665</v>
      </c>
    </row>
    <row r="202" spans="1:11" x14ac:dyDescent="0.25">
      <c r="B202" s="4"/>
      <c r="C202" s="4"/>
      <c r="D202" s="4"/>
      <c r="E202" s="4"/>
      <c r="G202" s="2" t="s">
        <v>26</v>
      </c>
    </row>
    <row r="203" spans="1:11" x14ac:dyDescent="0.25">
      <c r="A203" s="25">
        <v>0</v>
      </c>
      <c r="B203" s="4">
        <v>3</v>
      </c>
      <c r="C203" s="4">
        <v>0</v>
      </c>
      <c r="D203" s="4">
        <v>38809</v>
      </c>
      <c r="E203" s="4">
        <f>23285/3</f>
        <v>7761.666666666667</v>
      </c>
      <c r="G203" s="25">
        <v>0</v>
      </c>
      <c r="H203" s="2">
        <v>5</v>
      </c>
      <c r="I203" s="2">
        <v>0</v>
      </c>
      <c r="J203" s="2">
        <v>728</v>
      </c>
      <c r="K203" s="2">
        <f>728/3</f>
        <v>242.66666666666666</v>
      </c>
    </row>
    <row r="204" spans="1:11" x14ac:dyDescent="0.25">
      <c r="A204" s="23" t="s">
        <v>15</v>
      </c>
      <c r="B204" s="4">
        <v>8</v>
      </c>
      <c r="C204" s="4">
        <v>19</v>
      </c>
      <c r="D204" s="4">
        <v>290422</v>
      </c>
      <c r="E204" s="4">
        <f>15022/3</f>
        <v>5007.333333333333</v>
      </c>
      <c r="G204" s="23" t="s">
        <v>15</v>
      </c>
      <c r="H204" s="2">
        <v>131</v>
      </c>
      <c r="I204" s="2">
        <v>311</v>
      </c>
      <c r="J204" s="2">
        <v>4456146</v>
      </c>
      <c r="K204" s="2">
        <f>14328/3</f>
        <v>4776</v>
      </c>
    </row>
    <row r="205" spans="1:11" x14ac:dyDescent="0.25">
      <c r="A205" s="2" t="s">
        <v>16</v>
      </c>
      <c r="B205" s="4">
        <v>1</v>
      </c>
      <c r="C205" s="4">
        <v>9</v>
      </c>
      <c r="D205" s="4">
        <v>141982</v>
      </c>
      <c r="E205" s="4">
        <f>15776/3</f>
        <v>5258.666666666667</v>
      </c>
      <c r="G205" s="2" t="s">
        <v>16</v>
      </c>
      <c r="H205" s="2">
        <v>97</v>
      </c>
      <c r="I205" s="2">
        <v>650</v>
      </c>
      <c r="J205" s="2">
        <v>7914975</v>
      </c>
      <c r="K205" s="2">
        <f>12233/3</f>
        <v>4077.6666666666665</v>
      </c>
    </row>
    <row r="206" spans="1:11" x14ac:dyDescent="0.25">
      <c r="A206" s="23" t="s">
        <v>49</v>
      </c>
      <c r="B206" s="4">
        <v>1</v>
      </c>
      <c r="C206" s="4">
        <v>11</v>
      </c>
      <c r="D206" s="4">
        <v>150898</v>
      </c>
      <c r="E206" s="4">
        <f>13314/3</f>
        <v>4438</v>
      </c>
      <c r="G206" s="23" t="s">
        <v>49</v>
      </c>
      <c r="H206" s="2">
        <v>83</v>
      </c>
      <c r="I206" s="2">
        <v>1164</v>
      </c>
      <c r="J206" s="2">
        <v>10566631</v>
      </c>
      <c r="K206" s="2">
        <f>9093/3</f>
        <v>3031</v>
      </c>
    </row>
    <row r="207" spans="1:11" x14ac:dyDescent="0.25">
      <c r="A207" s="2" t="s">
        <v>17</v>
      </c>
      <c r="B207" s="4">
        <v>4</v>
      </c>
      <c r="C207" s="4">
        <v>134</v>
      </c>
      <c r="D207" s="4">
        <v>1922652</v>
      </c>
      <c r="E207" s="4">
        <f>14492/3</f>
        <v>4830.666666666667</v>
      </c>
      <c r="G207" s="2" t="s">
        <v>17</v>
      </c>
      <c r="H207" s="2">
        <v>126</v>
      </c>
      <c r="I207" s="2">
        <v>3795</v>
      </c>
      <c r="J207" s="2">
        <v>40253551</v>
      </c>
      <c r="K207" s="2">
        <f>10655/3</f>
        <v>3551.6666666666665</v>
      </c>
    </row>
    <row r="208" spans="1:11" x14ac:dyDescent="0.25">
      <c r="A208" s="2" t="s">
        <v>18</v>
      </c>
      <c r="B208" s="4">
        <v>2</v>
      </c>
      <c r="C208" s="4">
        <v>136</v>
      </c>
      <c r="D208" s="4">
        <v>2092552</v>
      </c>
      <c r="E208" s="4">
        <f>15933/3</f>
        <v>5311</v>
      </c>
      <c r="G208" s="2" t="s">
        <v>18</v>
      </c>
      <c r="H208" s="2">
        <v>39</v>
      </c>
      <c r="I208" s="2">
        <v>2687</v>
      </c>
      <c r="J208" s="2">
        <v>32184194</v>
      </c>
      <c r="K208" s="2">
        <f>12014/3</f>
        <v>4004.6666666666665</v>
      </c>
    </row>
    <row r="209" spans="1:11" x14ac:dyDescent="0.25">
      <c r="A209" s="2" t="s">
        <v>19</v>
      </c>
      <c r="B209" s="4">
        <v>4</v>
      </c>
      <c r="C209" s="4">
        <v>644</v>
      </c>
      <c r="D209" s="4">
        <v>9713018</v>
      </c>
      <c r="E209" s="4">
        <f>15524/3</f>
        <v>5174.666666666667</v>
      </c>
      <c r="G209" s="2" t="s">
        <v>19</v>
      </c>
      <c r="H209" s="2">
        <v>25</v>
      </c>
      <c r="I209" s="2">
        <v>4180</v>
      </c>
      <c r="J209" s="2">
        <v>39379262</v>
      </c>
      <c r="K209" s="2">
        <f>9488/3</f>
        <v>3162.6666666666665</v>
      </c>
    </row>
    <row r="210" spans="1:11" x14ac:dyDescent="0.25">
      <c r="A210" s="2" t="s">
        <v>20</v>
      </c>
      <c r="B210" s="4">
        <v>3</v>
      </c>
      <c r="C210" s="4">
        <v>1164</v>
      </c>
      <c r="D210" s="4">
        <v>19608287</v>
      </c>
      <c r="E210" s="4">
        <f>16754/3</f>
        <v>5584.666666666667</v>
      </c>
      <c r="G210" s="2" t="s">
        <v>20</v>
      </c>
      <c r="H210" s="2">
        <v>21</v>
      </c>
      <c r="I210" s="2">
        <v>7930</v>
      </c>
      <c r="J210" s="2">
        <v>82183619</v>
      </c>
      <c r="K210" s="2">
        <f>10463/3</f>
        <v>3487.6666666666665</v>
      </c>
    </row>
    <row r="211" spans="1:11" x14ac:dyDescent="0.25">
      <c r="A211" s="2" t="s">
        <v>22</v>
      </c>
      <c r="B211" s="4">
        <v>1</v>
      </c>
      <c r="C211" s="4">
        <v>547</v>
      </c>
      <c r="D211" s="4">
        <v>9140564</v>
      </c>
      <c r="E211" s="4">
        <f>16833/3</f>
        <v>5611</v>
      </c>
      <c r="G211" s="2" t="s">
        <v>22</v>
      </c>
      <c r="H211" s="2">
        <v>12</v>
      </c>
      <c r="I211" s="2">
        <v>8712</v>
      </c>
      <c r="J211" s="2">
        <v>71332145</v>
      </c>
      <c r="K211" s="2">
        <f>8227/3</f>
        <v>2742.3333333333335</v>
      </c>
    </row>
    <row r="212" spans="1:11" x14ac:dyDescent="0.25">
      <c r="A212" s="2" t="s">
        <v>23</v>
      </c>
      <c r="B212" s="4">
        <v>1</v>
      </c>
      <c r="C212" s="4">
        <v>11241</v>
      </c>
      <c r="D212" s="4">
        <v>217292139</v>
      </c>
      <c r="E212" s="4">
        <f>19314/3</f>
        <v>6438</v>
      </c>
      <c r="G212" s="2" t="s">
        <v>23</v>
      </c>
      <c r="H212" s="2">
        <v>12</v>
      </c>
      <c r="I212" s="2">
        <v>41268</v>
      </c>
      <c r="J212" s="2">
        <v>458797801</v>
      </c>
      <c r="K212" s="2">
        <f>11185/3</f>
        <v>3728.3333333333335</v>
      </c>
    </row>
    <row r="213" spans="1:11" x14ac:dyDescent="0.25">
      <c r="B213" s="4"/>
      <c r="C213" s="4"/>
      <c r="D213" s="4"/>
      <c r="E213" s="4"/>
    </row>
    <row r="214" spans="1:11" x14ac:dyDescent="0.25">
      <c r="A214" s="30" t="s">
        <v>42</v>
      </c>
      <c r="B214" s="30"/>
      <c r="C214" s="30"/>
      <c r="D214" s="30"/>
      <c r="E214" s="30"/>
      <c r="F214" s="10"/>
      <c r="G214" s="30" t="s">
        <v>43</v>
      </c>
      <c r="H214" s="30"/>
      <c r="I214" s="30"/>
      <c r="J214" s="30"/>
      <c r="K214" s="30"/>
    </row>
    <row r="215" spans="1:11" x14ac:dyDescent="0.25">
      <c r="A215" s="18"/>
      <c r="B215" s="17"/>
      <c r="C215" s="17"/>
      <c r="D215" s="17" t="s">
        <v>1</v>
      </c>
      <c r="E215" s="17" t="s">
        <v>2</v>
      </c>
      <c r="F215" s="18"/>
      <c r="G215" s="18"/>
      <c r="H215" s="17"/>
      <c r="I215" s="17"/>
      <c r="J215" s="17" t="s">
        <v>1</v>
      </c>
      <c r="K215" s="17" t="s">
        <v>2</v>
      </c>
    </row>
    <row r="216" spans="1:11" x14ac:dyDescent="0.25">
      <c r="A216" s="19" t="s">
        <v>3</v>
      </c>
      <c r="B216" s="17" t="s">
        <v>4</v>
      </c>
      <c r="C216" s="17" t="s">
        <v>5</v>
      </c>
      <c r="D216" s="17" t="s">
        <v>6</v>
      </c>
      <c r="E216" s="17" t="s">
        <v>7</v>
      </c>
      <c r="F216" s="18"/>
      <c r="G216" s="19" t="s">
        <v>3</v>
      </c>
      <c r="H216" s="17" t="s">
        <v>4</v>
      </c>
      <c r="I216" s="17" t="s">
        <v>5</v>
      </c>
      <c r="J216" s="17" t="s">
        <v>6</v>
      </c>
      <c r="K216" s="17" t="s">
        <v>7</v>
      </c>
    </row>
    <row r="217" spans="1:11" ht="13.8" thickBot="1" x14ac:dyDescent="0.3">
      <c r="A217" s="14" t="s">
        <v>8</v>
      </c>
      <c r="B217" s="15" t="s">
        <v>9</v>
      </c>
      <c r="C217" s="15" t="s">
        <v>10</v>
      </c>
      <c r="D217" s="15" t="s">
        <v>11</v>
      </c>
      <c r="E217" s="15" t="s">
        <v>12</v>
      </c>
      <c r="F217" s="16"/>
      <c r="G217" s="14" t="s">
        <v>8</v>
      </c>
      <c r="H217" s="15" t="s">
        <v>9</v>
      </c>
      <c r="I217" s="15" t="s">
        <v>10</v>
      </c>
      <c r="J217" s="15" t="s">
        <v>11</v>
      </c>
      <c r="K217" s="15" t="s">
        <v>12</v>
      </c>
    </row>
    <row r="218" spans="1:11" ht="13.8" thickTop="1" x14ac:dyDescent="0.25"/>
    <row r="219" spans="1:11" s="11" customFormat="1" x14ac:dyDescent="0.25">
      <c r="A219" s="11" t="s">
        <v>25</v>
      </c>
      <c r="B219" s="3">
        <f>SUM(B221:B230)</f>
        <v>57</v>
      </c>
      <c r="C219" s="3">
        <f>SUM(C221:C230)</f>
        <v>41198</v>
      </c>
      <c r="D219" s="22">
        <f>SUM(D221:D230)</f>
        <v>382531689</v>
      </c>
      <c r="E219" s="22">
        <f>9359/3</f>
        <v>3119.6666666666665</v>
      </c>
      <c r="G219" s="11" t="s">
        <v>25</v>
      </c>
      <c r="H219" s="11">
        <f>SUM(H221:H231)</f>
        <v>2660</v>
      </c>
      <c r="I219" s="11">
        <f>SUM(I221:I231)</f>
        <v>120778</v>
      </c>
      <c r="J219" s="12">
        <f>SUM(J221:J230)</f>
        <v>951522415</v>
      </c>
      <c r="K219" s="12">
        <f>7880/3</f>
        <v>2626.6666666666665</v>
      </c>
    </row>
    <row r="220" spans="1:11" x14ac:dyDescent="0.25">
      <c r="A220" s="2" t="s">
        <v>26</v>
      </c>
      <c r="B220" s="4"/>
      <c r="C220" s="4"/>
      <c r="D220" s="4"/>
      <c r="E220" s="4"/>
      <c r="G220" s="2" t="s">
        <v>26</v>
      </c>
    </row>
    <row r="221" spans="1:11" x14ac:dyDescent="0.25">
      <c r="A221" s="25">
        <v>0</v>
      </c>
      <c r="B221" s="4">
        <v>5</v>
      </c>
      <c r="C221" s="4">
        <v>0</v>
      </c>
      <c r="D221" s="4">
        <v>728</v>
      </c>
      <c r="E221" s="4">
        <f>728/3</f>
        <v>242.66666666666666</v>
      </c>
      <c r="G221" s="2" t="s">
        <v>14</v>
      </c>
      <c r="H221" s="2">
        <v>38</v>
      </c>
      <c r="I221" s="2">
        <v>0</v>
      </c>
      <c r="J221" s="2">
        <v>58057</v>
      </c>
      <c r="K221" s="2">
        <f>58057/3</f>
        <v>19352.333333333332</v>
      </c>
    </row>
    <row r="222" spans="1:11" x14ac:dyDescent="0.25">
      <c r="A222" s="23" t="s">
        <v>15</v>
      </c>
      <c r="B222" s="4">
        <v>4</v>
      </c>
      <c r="C222" s="4">
        <v>5</v>
      </c>
      <c r="D222" s="4">
        <v>49780</v>
      </c>
      <c r="E222" s="4">
        <f>10667/3</f>
        <v>3555.6666666666665</v>
      </c>
      <c r="G222" s="2" t="s">
        <v>15</v>
      </c>
      <c r="H222" s="2">
        <v>404</v>
      </c>
      <c r="I222" s="2">
        <v>999</v>
      </c>
      <c r="J222" s="2">
        <v>7415175</v>
      </c>
      <c r="K222" s="2">
        <f>7334/3</f>
        <v>2444.6666666666665</v>
      </c>
    </row>
    <row r="223" spans="1:11" x14ac:dyDescent="0.25">
      <c r="A223" s="2" t="s">
        <v>16</v>
      </c>
      <c r="B223" s="4">
        <v>5</v>
      </c>
      <c r="C223" s="4">
        <v>35</v>
      </c>
      <c r="D223" s="4">
        <v>382532</v>
      </c>
      <c r="E223" s="5">
        <f>11142/3</f>
        <v>3714</v>
      </c>
      <c r="G223" s="2" t="s">
        <v>16</v>
      </c>
      <c r="H223" s="2">
        <v>507</v>
      </c>
      <c r="I223" s="2">
        <v>3327</v>
      </c>
      <c r="J223" s="2">
        <v>22358027</v>
      </c>
      <c r="K223" s="2">
        <f>6734/3</f>
        <v>2244.6666666666665</v>
      </c>
    </row>
    <row r="224" spans="1:11" x14ac:dyDescent="0.25">
      <c r="A224" s="23" t="s">
        <v>49</v>
      </c>
      <c r="B224" s="4">
        <v>5</v>
      </c>
      <c r="C224" s="4">
        <v>61</v>
      </c>
      <c r="D224" s="4">
        <v>649875</v>
      </c>
      <c r="E224" s="4">
        <f>10654/3</f>
        <v>3551.3333333333335</v>
      </c>
      <c r="G224" s="23" t="s">
        <v>49</v>
      </c>
      <c r="H224" s="2">
        <v>334</v>
      </c>
      <c r="I224" s="2">
        <v>4648</v>
      </c>
      <c r="J224" s="2">
        <v>38969156</v>
      </c>
      <c r="K224" s="2">
        <f>8410/3</f>
        <v>2803.3333333333335</v>
      </c>
    </row>
    <row r="225" spans="1:11" x14ac:dyDescent="0.25">
      <c r="A225" s="2" t="s">
        <v>17</v>
      </c>
      <c r="B225" s="4">
        <v>8</v>
      </c>
      <c r="C225" s="4">
        <v>311</v>
      </c>
      <c r="D225" s="4">
        <v>1410490</v>
      </c>
      <c r="E225" s="4">
        <f>4599/3</f>
        <v>1533</v>
      </c>
      <c r="G225" s="2" t="s">
        <v>17</v>
      </c>
      <c r="H225" s="2">
        <v>504</v>
      </c>
      <c r="I225" s="2">
        <v>16432</v>
      </c>
      <c r="J225" s="2">
        <v>136017861</v>
      </c>
      <c r="K225" s="2">
        <f>8206/3</f>
        <v>2735.3333333333335</v>
      </c>
    </row>
    <row r="226" spans="1:11" x14ac:dyDescent="0.25">
      <c r="A226" s="2" t="s">
        <v>18</v>
      </c>
      <c r="B226" s="4">
        <v>4</v>
      </c>
      <c r="C226" s="4">
        <v>336</v>
      </c>
      <c r="D226" s="4">
        <v>2004151</v>
      </c>
      <c r="E226" s="4">
        <f>5988/3</f>
        <v>1996</v>
      </c>
      <c r="G226" s="2" t="s">
        <v>18</v>
      </c>
      <c r="H226" s="2">
        <v>636</v>
      </c>
      <c r="I226" s="2">
        <v>43479</v>
      </c>
      <c r="J226" s="2">
        <v>339586425</v>
      </c>
      <c r="K226" s="2">
        <f>7827/3</f>
        <v>2609</v>
      </c>
    </row>
    <row r="227" spans="1:11" x14ac:dyDescent="0.25">
      <c r="A227" s="2" t="s">
        <v>19</v>
      </c>
      <c r="B227" s="4">
        <v>7</v>
      </c>
      <c r="C227" s="4">
        <v>1215</v>
      </c>
      <c r="D227" s="4">
        <v>5095712</v>
      </c>
      <c r="E227" s="4">
        <f>4257/3</f>
        <v>1419</v>
      </c>
      <c r="G227" s="2" t="s">
        <v>19</v>
      </c>
      <c r="H227" s="2">
        <v>191</v>
      </c>
      <c r="I227" s="2">
        <v>27118</v>
      </c>
      <c r="J227" s="2">
        <v>208862363</v>
      </c>
      <c r="K227" s="2">
        <f>7721/3</f>
        <v>2573.6666666666665</v>
      </c>
    </row>
    <row r="228" spans="1:11" x14ac:dyDescent="0.25">
      <c r="A228" s="2" t="s">
        <v>20</v>
      </c>
      <c r="B228" s="4">
        <v>5</v>
      </c>
      <c r="C228" s="4">
        <v>2006</v>
      </c>
      <c r="D228" s="4">
        <v>9455071</v>
      </c>
      <c r="E228" s="4">
        <f>4828/3</f>
        <v>1609.3333333333333</v>
      </c>
      <c r="G228" s="2" t="s">
        <v>20</v>
      </c>
      <c r="H228" s="2">
        <v>30</v>
      </c>
      <c r="I228" s="2">
        <v>9719</v>
      </c>
      <c r="J228" s="2">
        <v>67321732</v>
      </c>
      <c r="K228" s="2">
        <f>6959/3</f>
        <v>2319.6666666666665</v>
      </c>
    </row>
    <row r="229" spans="1:11" x14ac:dyDescent="0.25">
      <c r="A229" s="2" t="s">
        <v>22</v>
      </c>
      <c r="B229" s="4">
        <v>5</v>
      </c>
      <c r="C229" s="4">
        <v>3674</v>
      </c>
      <c r="D229" s="4">
        <v>13855794</v>
      </c>
      <c r="E229" s="4">
        <f>3789/3</f>
        <v>1263</v>
      </c>
      <c r="G229" s="2" t="s">
        <v>22</v>
      </c>
      <c r="H229" s="2">
        <v>15</v>
      </c>
      <c r="I229" s="2">
        <v>9529</v>
      </c>
      <c r="J229" s="2">
        <v>87522898</v>
      </c>
      <c r="K229" s="2">
        <f>9224/3</f>
        <v>3074.6666666666665</v>
      </c>
    </row>
    <row r="230" spans="1:11" x14ac:dyDescent="0.25">
      <c r="A230" s="2" t="s">
        <v>23</v>
      </c>
      <c r="B230" s="4">
        <v>9</v>
      </c>
      <c r="C230" s="4">
        <v>33555</v>
      </c>
      <c r="D230" s="4">
        <v>349627556</v>
      </c>
      <c r="E230" s="4">
        <f>10494/3</f>
        <v>3498</v>
      </c>
      <c r="G230" s="2" t="s">
        <v>23</v>
      </c>
      <c r="H230" s="2">
        <v>1</v>
      </c>
      <c r="I230" s="2">
        <v>5527</v>
      </c>
      <c r="J230" s="2">
        <v>43410721</v>
      </c>
      <c r="K230" s="2">
        <f>7736/3</f>
        <v>2578.6666666666665</v>
      </c>
    </row>
    <row r="231" spans="1:11" x14ac:dyDescent="0.25">
      <c r="E231" s="2" t="s">
        <v>26</v>
      </c>
    </row>
    <row r="232" spans="1:11" x14ac:dyDescent="0.25">
      <c r="A232" s="30" t="s">
        <v>44</v>
      </c>
      <c r="B232" s="30"/>
      <c r="C232" s="30"/>
      <c r="D232" s="30"/>
      <c r="E232" s="30"/>
      <c r="F232" s="10"/>
      <c r="G232" s="30" t="s">
        <v>45</v>
      </c>
      <c r="H232" s="30"/>
      <c r="I232" s="30"/>
      <c r="J232" s="30"/>
      <c r="K232" s="30"/>
    </row>
    <row r="233" spans="1:11" x14ac:dyDescent="0.25">
      <c r="A233" s="18"/>
      <c r="B233" s="17"/>
      <c r="C233" s="17"/>
      <c r="D233" s="17" t="s">
        <v>1</v>
      </c>
      <c r="E233" s="17" t="s">
        <v>2</v>
      </c>
      <c r="F233" s="18"/>
      <c r="G233" s="18"/>
      <c r="H233" s="17"/>
      <c r="I233" s="17"/>
      <c r="J233" s="17" t="s">
        <v>1</v>
      </c>
      <c r="K233" s="17" t="s">
        <v>2</v>
      </c>
    </row>
    <row r="234" spans="1:11" x14ac:dyDescent="0.25">
      <c r="A234" s="19" t="s">
        <v>3</v>
      </c>
      <c r="B234" s="17" t="s">
        <v>4</v>
      </c>
      <c r="C234" s="17" t="s">
        <v>5</v>
      </c>
      <c r="D234" s="17" t="s">
        <v>6</v>
      </c>
      <c r="E234" s="17" t="s">
        <v>7</v>
      </c>
      <c r="F234" s="18"/>
      <c r="G234" s="19" t="s">
        <v>3</v>
      </c>
      <c r="H234" s="17" t="s">
        <v>4</v>
      </c>
      <c r="I234" s="17" t="s">
        <v>5</v>
      </c>
      <c r="J234" s="17" t="s">
        <v>6</v>
      </c>
      <c r="K234" s="17" t="s">
        <v>7</v>
      </c>
    </row>
    <row r="235" spans="1:11" ht="13.8" thickBot="1" x14ac:dyDescent="0.3">
      <c r="A235" s="14" t="s">
        <v>8</v>
      </c>
      <c r="B235" s="15" t="s">
        <v>9</v>
      </c>
      <c r="C235" s="15" t="s">
        <v>10</v>
      </c>
      <c r="D235" s="15" t="s">
        <v>11</v>
      </c>
      <c r="E235" s="15" t="s">
        <v>12</v>
      </c>
      <c r="F235" s="16"/>
      <c r="G235" s="14" t="s">
        <v>8</v>
      </c>
      <c r="H235" s="15" t="s">
        <v>9</v>
      </c>
      <c r="I235" s="15" t="s">
        <v>10</v>
      </c>
      <c r="J235" s="15" t="s">
        <v>11</v>
      </c>
      <c r="K235" s="15" t="s">
        <v>12</v>
      </c>
    </row>
    <row r="236" spans="1:11" ht="13.8" thickTop="1" x14ac:dyDescent="0.25"/>
    <row r="237" spans="1:11" s="11" customFormat="1" x14ac:dyDescent="0.25">
      <c r="A237" s="11" t="s">
        <v>25</v>
      </c>
      <c r="B237" s="3">
        <f>SUM(B239:B247)</f>
        <v>1004</v>
      </c>
      <c r="C237" s="3">
        <f>SUM(C239:C247)</f>
        <v>70155</v>
      </c>
      <c r="D237" s="22">
        <f>SUM(D239:D247)</f>
        <v>522671170</v>
      </c>
      <c r="E237" s="22">
        <f>7459/3</f>
        <v>2486.3333333333335</v>
      </c>
      <c r="G237" s="11" t="s">
        <v>25</v>
      </c>
      <c r="H237" s="11">
        <f>SUM(H239:H248)</f>
        <v>81155</v>
      </c>
      <c r="I237" s="11">
        <f>SUM(I239:I248)</f>
        <v>1045187</v>
      </c>
      <c r="J237" s="12">
        <f>SUM(J239:J248)</f>
        <v>10676197289</v>
      </c>
      <c r="K237" s="12">
        <f>10292/3</f>
        <v>3430.6666666666665</v>
      </c>
    </row>
    <row r="238" spans="1:11" x14ac:dyDescent="0.25">
      <c r="A238" s="2" t="s">
        <v>26</v>
      </c>
      <c r="B238" s="4"/>
      <c r="C238" s="4"/>
      <c r="D238" s="4"/>
      <c r="E238" s="4"/>
      <c r="G238" s="2" t="s">
        <v>26</v>
      </c>
    </row>
    <row r="239" spans="1:11" x14ac:dyDescent="0.25">
      <c r="A239" s="25">
        <v>0</v>
      </c>
      <c r="B239" s="4">
        <v>3</v>
      </c>
      <c r="C239" s="4">
        <v>0</v>
      </c>
      <c r="D239" s="4">
        <v>0</v>
      </c>
      <c r="E239" s="4">
        <v>0</v>
      </c>
      <c r="G239" s="2" t="s">
        <v>14</v>
      </c>
      <c r="H239" s="2">
        <v>11049</v>
      </c>
      <c r="I239" s="2">
        <v>0</v>
      </c>
      <c r="J239" s="2">
        <v>46882393</v>
      </c>
      <c r="K239" s="2">
        <f>11272/3</f>
        <v>3757.3333333333335</v>
      </c>
    </row>
    <row r="240" spans="1:11" x14ac:dyDescent="0.25">
      <c r="A240" s="23" t="s">
        <v>15</v>
      </c>
      <c r="B240" s="4">
        <v>17</v>
      </c>
      <c r="C240" s="4">
        <v>46</v>
      </c>
      <c r="D240" s="4">
        <v>337197</v>
      </c>
      <c r="E240" s="4">
        <f>6206/3</f>
        <v>2068.6666666666665</v>
      </c>
      <c r="G240" s="2" t="s">
        <v>15</v>
      </c>
      <c r="H240" s="2">
        <v>37641</v>
      </c>
      <c r="I240" s="2">
        <v>70570</v>
      </c>
      <c r="J240" s="2">
        <v>732191859</v>
      </c>
      <c r="K240" s="2">
        <f>10515/3</f>
        <v>3505</v>
      </c>
    </row>
    <row r="241" spans="1:11" x14ac:dyDescent="0.25">
      <c r="A241" s="2" t="s">
        <v>16</v>
      </c>
      <c r="B241" s="4">
        <v>60</v>
      </c>
      <c r="C241" s="4">
        <v>364</v>
      </c>
      <c r="D241" s="4">
        <v>1689275</v>
      </c>
      <c r="E241" s="4">
        <f>4645/3</f>
        <v>1548.3333333333333</v>
      </c>
      <c r="G241" s="2" t="s">
        <v>16</v>
      </c>
      <c r="H241" s="2">
        <v>13177</v>
      </c>
      <c r="I241" s="2">
        <v>88020</v>
      </c>
      <c r="J241" s="2">
        <v>737438013</v>
      </c>
      <c r="K241" s="2">
        <f>8541/3</f>
        <v>2847</v>
      </c>
    </row>
    <row r="242" spans="1:11" x14ac:dyDescent="0.25">
      <c r="A242" s="23" t="s">
        <v>49</v>
      </c>
      <c r="B242" s="4">
        <v>53</v>
      </c>
      <c r="C242" s="4">
        <v>773</v>
      </c>
      <c r="D242" s="4">
        <v>5801824</v>
      </c>
      <c r="E242" s="4">
        <f>7522/3</f>
        <v>2507.3333333333335</v>
      </c>
      <c r="G242" s="23" t="s">
        <v>49</v>
      </c>
      <c r="H242" s="2">
        <v>9517</v>
      </c>
      <c r="I242" s="2">
        <v>129308</v>
      </c>
      <c r="J242" s="2">
        <v>1054171026</v>
      </c>
      <c r="K242" s="2">
        <f>8287/3</f>
        <v>2762.3333333333335</v>
      </c>
    </row>
    <row r="243" spans="1:11" x14ac:dyDescent="0.25">
      <c r="A243" s="2" t="s">
        <v>17</v>
      </c>
      <c r="B243" s="4">
        <v>202</v>
      </c>
      <c r="C243" s="4">
        <v>7436</v>
      </c>
      <c r="D243" s="4">
        <v>59243759</v>
      </c>
      <c r="E243" s="4">
        <f>7869/3</f>
        <v>2623</v>
      </c>
      <c r="G243" s="2" t="s">
        <v>17</v>
      </c>
      <c r="H243" s="2">
        <v>6247</v>
      </c>
      <c r="I243" s="2">
        <v>187806</v>
      </c>
      <c r="J243" s="2">
        <v>1700329558</v>
      </c>
      <c r="K243" s="2">
        <f>9175/3</f>
        <v>3058.3333333333335</v>
      </c>
    </row>
    <row r="244" spans="1:11" x14ac:dyDescent="0.25">
      <c r="A244" s="2" t="s">
        <v>18</v>
      </c>
      <c r="B244" s="4">
        <v>518</v>
      </c>
      <c r="C244" s="4">
        <v>35330</v>
      </c>
      <c r="D244" s="4">
        <v>268608352</v>
      </c>
      <c r="E244" s="4">
        <f>7625/3</f>
        <v>2541.6666666666665</v>
      </c>
      <c r="G244" s="2" t="s">
        <v>18</v>
      </c>
      <c r="H244" s="2">
        <v>2023</v>
      </c>
      <c r="I244" s="2">
        <v>139662</v>
      </c>
      <c r="J244" s="2">
        <v>1385234095</v>
      </c>
      <c r="K244" s="2">
        <f>10043/3</f>
        <v>3347.6666666666665</v>
      </c>
    </row>
    <row r="245" spans="1:11" x14ac:dyDescent="0.25">
      <c r="A245" s="2" t="s">
        <v>19</v>
      </c>
      <c r="B245" s="4">
        <v>131</v>
      </c>
      <c r="C245" s="4">
        <v>17766</v>
      </c>
      <c r="D245" s="4">
        <v>138803650</v>
      </c>
      <c r="E245" s="4">
        <f>7832/3</f>
        <v>2610.6666666666665</v>
      </c>
      <c r="G245" s="2" t="s">
        <v>19</v>
      </c>
      <c r="H245" s="2">
        <v>1061</v>
      </c>
      <c r="I245" s="2">
        <v>159057</v>
      </c>
      <c r="J245" s="2">
        <v>1738719157</v>
      </c>
      <c r="K245" s="2">
        <f>11038/3</f>
        <v>3679.3333333333335</v>
      </c>
    </row>
    <row r="246" spans="1:11" x14ac:dyDescent="0.25">
      <c r="A246" s="2" t="s">
        <v>20</v>
      </c>
      <c r="B246" s="4">
        <v>14</v>
      </c>
      <c r="C246" s="4">
        <v>4400</v>
      </c>
      <c r="D246" s="4">
        <v>22738869</v>
      </c>
      <c r="E246" s="4">
        <f>5213/3</f>
        <v>1737.6666666666667</v>
      </c>
      <c r="G246" s="2" t="s">
        <v>20</v>
      </c>
      <c r="H246" s="2">
        <v>285</v>
      </c>
      <c r="I246" s="2">
        <v>98266</v>
      </c>
      <c r="J246" s="2">
        <v>1194809709</v>
      </c>
      <c r="K246" s="2">
        <f>12256/3</f>
        <v>4085.3333333333335</v>
      </c>
    </row>
    <row r="247" spans="1:11" x14ac:dyDescent="0.25">
      <c r="A247" s="2" t="s">
        <v>27</v>
      </c>
      <c r="B247" s="4">
        <v>6</v>
      </c>
      <c r="C247" s="4">
        <v>4040</v>
      </c>
      <c r="D247" s="4">
        <v>25448244</v>
      </c>
      <c r="E247" s="4">
        <f>6295/3</f>
        <v>2098.3333333333335</v>
      </c>
      <c r="G247" s="2" t="s">
        <v>22</v>
      </c>
      <c r="H247" s="2">
        <v>110</v>
      </c>
      <c r="I247" s="2">
        <v>74507</v>
      </c>
      <c r="J247" s="2">
        <v>1007447987</v>
      </c>
      <c r="K247" s="2">
        <f>13668/3</f>
        <v>4556</v>
      </c>
    </row>
    <row r="248" spans="1:11" x14ac:dyDescent="0.25">
      <c r="G248" s="2" t="s">
        <v>23</v>
      </c>
      <c r="H248" s="2">
        <v>45</v>
      </c>
      <c r="I248" s="2">
        <v>97991</v>
      </c>
      <c r="J248" s="2">
        <v>1078973492</v>
      </c>
      <c r="K248" s="2">
        <f>11002/3</f>
        <v>3667.3333333333335</v>
      </c>
    </row>
    <row r="250" spans="1:11" x14ac:dyDescent="0.25">
      <c r="A250" s="31" t="s">
        <v>64</v>
      </c>
      <c r="B250" s="31"/>
      <c r="C250" s="31"/>
      <c r="D250" s="31"/>
      <c r="E250" s="31"/>
      <c r="F250" s="31"/>
      <c r="G250" s="31"/>
      <c r="H250" s="31"/>
      <c r="I250" s="31"/>
    </row>
    <row r="286" spans="11:11" x14ac:dyDescent="0.25">
      <c r="K286" s="24"/>
    </row>
    <row r="362" spans="5:5" x14ac:dyDescent="0.25">
      <c r="E362" s="24"/>
    </row>
    <row r="383" spans="5:5" x14ac:dyDescent="0.25">
      <c r="E383" s="24"/>
    </row>
    <row r="482" spans="11:11" x14ac:dyDescent="0.25">
      <c r="K482" s="26"/>
    </row>
    <row r="558" spans="11:11" x14ac:dyDescent="0.25">
      <c r="K558" s="24"/>
    </row>
    <row r="610" spans="5:5" x14ac:dyDescent="0.25">
      <c r="E610" s="24"/>
    </row>
    <row r="632" spans="5:11" x14ac:dyDescent="0.25">
      <c r="E632" s="24"/>
      <c r="K632" s="24"/>
    </row>
    <row r="661" spans="5:5" x14ac:dyDescent="0.25">
      <c r="E661" s="24"/>
    </row>
    <row r="683" spans="5:11" x14ac:dyDescent="0.25">
      <c r="E683" s="24"/>
      <c r="K683" s="24"/>
    </row>
  </sheetData>
  <mergeCells count="31">
    <mergeCell ref="A250:I250"/>
    <mergeCell ref="A232:E232"/>
    <mergeCell ref="G232:K232"/>
    <mergeCell ref="A143:E143"/>
    <mergeCell ref="G143:K143"/>
    <mergeCell ref="A214:E214"/>
    <mergeCell ref="G214:K214"/>
    <mergeCell ref="A161:E161"/>
    <mergeCell ref="G161:K161"/>
    <mergeCell ref="A178:E178"/>
    <mergeCell ref="G178:K178"/>
    <mergeCell ref="A196:E196"/>
    <mergeCell ref="G196:K196"/>
    <mergeCell ref="A38:E38"/>
    <mergeCell ref="G38:K38"/>
    <mergeCell ref="A56:E56"/>
    <mergeCell ref="G56:K56"/>
    <mergeCell ref="G125:K125"/>
    <mergeCell ref="A125:F125"/>
    <mergeCell ref="A72:E72"/>
    <mergeCell ref="G72:K72"/>
    <mergeCell ref="A90:E90"/>
    <mergeCell ref="G90:K90"/>
    <mergeCell ref="A108:E108"/>
    <mergeCell ref="G108:K108"/>
    <mergeCell ref="A2:K2"/>
    <mergeCell ref="A1:K1"/>
    <mergeCell ref="A3:E3"/>
    <mergeCell ref="G3:K3"/>
    <mergeCell ref="A21:E21"/>
    <mergeCell ref="G21:K21"/>
  </mergeCells>
  <phoneticPr fontId="0" type="noConversion"/>
  <pageMargins left="0.25" right="0.25" top="0.25" bottom="0.25" header="0.3" footer="0.3"/>
  <pageSetup scale="85" fitToHeight="0" orientation="landscape" r:id="rId1"/>
  <headerFooter alignWithMargins="0">
    <oddFooter>&amp;L&amp;9Source: Utah Department of Workforce Services, Workforce Research &amp; Analysis, Annual Report of Labor Market Information, 2013</oddFooter>
  </headerFooter>
  <rowBreaks count="6" manualBreakCount="6">
    <brk id="37" max="10" man="1"/>
    <brk id="71" max="10" man="1"/>
    <brk id="107" max="10" man="1"/>
    <brk id="142" max="10" man="1"/>
    <brk id="177" max="10" man="1"/>
    <brk id="21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TABLE16</vt:lpstr>
      <vt:lpstr>TABLE16!Print_Area</vt:lpstr>
      <vt:lpstr>Print_Area</vt:lpstr>
      <vt:lpstr>TABLE16!Print_Titles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Eileen Schroeder</dc:creator>
  <cp:lastModifiedBy>Melauni Parks Jensen</cp:lastModifiedBy>
  <cp:lastPrinted>2015-01-08T17:59:29Z</cp:lastPrinted>
  <dcterms:created xsi:type="dcterms:W3CDTF">2002-12-20T22:52:14Z</dcterms:created>
  <dcterms:modified xsi:type="dcterms:W3CDTF">2015-01-08T18:00:09Z</dcterms:modified>
</cp:coreProperties>
</file>