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30" yWindow="3225" windowWidth="12120" windowHeight="6120"/>
  </bookViews>
  <sheets>
    <sheet name="2005_two_digit" sheetId="1" r:id="rId1"/>
    <sheet name="Sheet1" sheetId="2" r:id="rId2"/>
  </sheets>
  <definedNames>
    <definedName name="_xlnm.Print_Area" localSheetId="0">'2005_two_digit'!$A$1:$G$687</definedName>
  </definedNames>
  <calcPr calcId="144525"/>
</workbook>
</file>

<file path=xl/calcChain.xml><?xml version="1.0" encoding="utf-8"?>
<calcChain xmlns="http://schemas.openxmlformats.org/spreadsheetml/2006/main">
  <c r="F39" i="1" l="1"/>
  <c r="F183" i="1" l="1"/>
  <c r="C183" i="1"/>
  <c r="D183" i="1"/>
  <c r="D427" i="1"/>
  <c r="C39" i="1" l="1"/>
  <c r="F411" i="1"/>
  <c r="D411" i="1"/>
  <c r="C411" i="1"/>
  <c r="D55" i="1"/>
  <c r="E54" i="1"/>
  <c r="E53" i="1"/>
  <c r="E413" i="1"/>
  <c r="E412" i="1"/>
  <c r="D680" i="1"/>
  <c r="C680" i="1"/>
  <c r="D615" i="1"/>
  <c r="C615" i="1"/>
  <c r="F204" i="1"/>
  <c r="F203" i="1" s="1"/>
  <c r="D204" i="1"/>
  <c r="C204" i="1"/>
  <c r="C203" i="1" s="1"/>
  <c r="D294" i="1"/>
  <c r="F282" i="1"/>
  <c r="F277" i="1" s="1"/>
  <c r="D282" i="1"/>
  <c r="C282" i="1"/>
  <c r="D537" i="1"/>
  <c r="C537" i="1"/>
  <c r="D535" i="1"/>
  <c r="F675" i="1"/>
  <c r="D675" i="1"/>
  <c r="C675" i="1"/>
  <c r="E659" i="1"/>
  <c r="D643" i="1"/>
  <c r="C643" i="1"/>
  <c r="C575" i="1"/>
  <c r="I534" i="1"/>
  <c r="F541" i="1"/>
  <c r="D541" i="1"/>
  <c r="C541" i="1"/>
  <c r="E543" i="1"/>
  <c r="E542" i="1"/>
  <c r="F539" i="1"/>
  <c r="D539" i="1"/>
  <c r="C539" i="1"/>
  <c r="F535" i="1"/>
  <c r="C535" i="1"/>
  <c r="F527" i="1"/>
  <c r="D527" i="1"/>
  <c r="C527" i="1"/>
  <c r="F511" i="1"/>
  <c r="D511" i="1"/>
  <c r="E511" i="1" s="1"/>
  <c r="D490" i="1"/>
  <c r="C490" i="1"/>
  <c r="D492" i="1"/>
  <c r="F428" i="1"/>
  <c r="F427" i="1" s="1"/>
  <c r="D424" i="1"/>
  <c r="F382" i="1"/>
  <c r="F376" i="1" s="1"/>
  <c r="F375" i="1" s="1"/>
  <c r="D382" i="1"/>
  <c r="C382" i="1"/>
  <c r="C376" i="1" s="1"/>
  <c r="C365" i="1"/>
  <c r="C360" i="1"/>
  <c r="D360" i="1"/>
  <c r="D365" i="1"/>
  <c r="F365" i="1"/>
  <c r="F343" i="1"/>
  <c r="D343" i="1"/>
  <c r="C343" i="1"/>
  <c r="C341" i="1" s="1"/>
  <c r="F332" i="1"/>
  <c r="F331" i="1" s="1"/>
  <c r="D332" i="1"/>
  <c r="D331" i="1" s="1"/>
  <c r="F294" i="1"/>
  <c r="F289" i="1" s="1"/>
  <c r="F285" i="1"/>
  <c r="F283" i="1" s="1"/>
  <c r="D285" i="1"/>
  <c r="D283" i="1" s="1"/>
  <c r="C294" i="1"/>
  <c r="C289" i="1" s="1"/>
  <c r="C285" i="1"/>
  <c r="C283" i="1" s="1"/>
  <c r="C169" i="1"/>
  <c r="C167" i="1" s="1"/>
  <c r="F169" i="1"/>
  <c r="F162" i="1"/>
  <c r="F157" i="1"/>
  <c r="F154" i="1" s="1"/>
  <c r="F127" i="1"/>
  <c r="F139" i="1"/>
  <c r="F118" i="1"/>
  <c r="D169" i="1"/>
  <c r="D167" i="1" s="1"/>
  <c r="D162" i="1"/>
  <c r="D158" i="1" s="1"/>
  <c r="D203" i="1"/>
  <c r="D163" i="1"/>
  <c r="D157" i="1"/>
  <c r="D154" i="1" s="1"/>
  <c r="D127" i="1"/>
  <c r="D119" i="1" s="1"/>
  <c r="D118" i="1"/>
  <c r="D68" i="1"/>
  <c r="C162" i="1"/>
  <c r="C157" i="1"/>
  <c r="C154" i="1" s="1"/>
  <c r="C127" i="1"/>
  <c r="C118" i="1"/>
  <c r="C115" i="1" s="1"/>
  <c r="C68" i="1"/>
  <c r="C60" i="1" s="1"/>
  <c r="C15" i="1"/>
  <c r="D15" i="1"/>
  <c r="F15" i="1"/>
  <c r="E16" i="1"/>
  <c r="C17" i="1"/>
  <c r="E17" i="1" s="1"/>
  <c r="D17" i="1"/>
  <c r="F17" i="1"/>
  <c r="E18" i="1"/>
  <c r="E19" i="1"/>
  <c r="E20" i="1"/>
  <c r="C21" i="1"/>
  <c r="E21" i="1" s="1"/>
  <c r="D21" i="1"/>
  <c r="F21" i="1"/>
  <c r="E22" i="1"/>
  <c r="C25" i="1"/>
  <c r="C24" i="1" s="1"/>
  <c r="D25" i="1"/>
  <c r="D24" i="1" s="1"/>
  <c r="F25" i="1"/>
  <c r="F24" i="1" s="1"/>
  <c r="E26" i="1"/>
  <c r="E27" i="1"/>
  <c r="E28" i="1"/>
  <c r="C31" i="1"/>
  <c r="D31" i="1"/>
  <c r="F31" i="1"/>
  <c r="E32" i="1"/>
  <c r="E33" i="1"/>
  <c r="C34" i="1"/>
  <c r="D34" i="1"/>
  <c r="F34" i="1"/>
  <c r="E35" i="1"/>
  <c r="E36" i="1"/>
  <c r="E37" i="1"/>
  <c r="E38" i="1"/>
  <c r="E40" i="1"/>
  <c r="C58" i="1"/>
  <c r="D58" i="1"/>
  <c r="F58" i="1"/>
  <c r="E59" i="1"/>
  <c r="E61" i="1"/>
  <c r="E62" i="1"/>
  <c r="E63" i="1"/>
  <c r="E64" i="1"/>
  <c r="E65" i="1"/>
  <c r="E66" i="1"/>
  <c r="E67" i="1"/>
  <c r="D60" i="1"/>
  <c r="F60" i="1"/>
  <c r="E69" i="1"/>
  <c r="E70" i="1"/>
  <c r="C71" i="1"/>
  <c r="D71" i="1"/>
  <c r="F71" i="1"/>
  <c r="E72" i="1"/>
  <c r="E73" i="1"/>
  <c r="C74" i="1"/>
  <c r="D74" i="1"/>
  <c r="F74" i="1"/>
  <c r="E75" i="1"/>
  <c r="E76" i="1"/>
  <c r="E77" i="1"/>
  <c r="E78" i="1"/>
  <c r="C79" i="1"/>
  <c r="D79" i="1"/>
  <c r="F79" i="1"/>
  <c r="E80" i="1"/>
  <c r="E81" i="1"/>
  <c r="E82" i="1"/>
  <c r="E83" i="1"/>
  <c r="C84" i="1"/>
  <c r="D84" i="1"/>
  <c r="F84" i="1"/>
  <c r="E95" i="1"/>
  <c r="C96" i="1"/>
  <c r="D96" i="1"/>
  <c r="F96" i="1"/>
  <c r="E97" i="1"/>
  <c r="C98" i="1"/>
  <c r="D98" i="1"/>
  <c r="F98" i="1"/>
  <c r="E99" i="1"/>
  <c r="E100" i="1"/>
  <c r="E101" i="1"/>
  <c r="E102" i="1"/>
  <c r="E103" i="1"/>
  <c r="E104" i="1"/>
  <c r="E105" i="1"/>
  <c r="C106" i="1"/>
  <c r="D106" i="1"/>
  <c r="F106" i="1"/>
  <c r="E107" i="1"/>
  <c r="E108" i="1"/>
  <c r="C109" i="1"/>
  <c r="D109" i="1"/>
  <c r="F109" i="1"/>
  <c r="E110" i="1"/>
  <c r="E111" i="1"/>
  <c r="E112" i="1"/>
  <c r="E113" i="1"/>
  <c r="E114" i="1"/>
  <c r="E116" i="1"/>
  <c r="E117" i="1"/>
  <c r="F115" i="1"/>
  <c r="F119" i="1"/>
  <c r="E120" i="1"/>
  <c r="E121" i="1"/>
  <c r="E122" i="1"/>
  <c r="E123" i="1"/>
  <c r="E124" i="1"/>
  <c r="E125" i="1"/>
  <c r="E126" i="1"/>
  <c r="C119" i="1"/>
  <c r="C139" i="1"/>
  <c r="D139" i="1"/>
  <c r="E140" i="1"/>
  <c r="E141" i="1"/>
  <c r="E142" i="1"/>
  <c r="E143" i="1"/>
  <c r="E144" i="1"/>
  <c r="E145" i="1"/>
  <c r="E146" i="1"/>
  <c r="C147" i="1"/>
  <c r="D147" i="1"/>
  <c r="F147" i="1"/>
  <c r="E148" i="1"/>
  <c r="E149" i="1"/>
  <c r="E150" i="1"/>
  <c r="E151" i="1"/>
  <c r="E152" i="1"/>
  <c r="E153" i="1"/>
  <c r="E155" i="1"/>
  <c r="E156" i="1"/>
  <c r="E157" i="1"/>
  <c r="F158" i="1"/>
  <c r="E159" i="1"/>
  <c r="E160" i="1"/>
  <c r="E161" i="1"/>
  <c r="C158" i="1"/>
  <c r="C163" i="1"/>
  <c r="E163" i="1" s="1"/>
  <c r="F163" i="1"/>
  <c r="E164" i="1"/>
  <c r="E165" i="1"/>
  <c r="E166" i="1"/>
  <c r="F167" i="1"/>
  <c r="E168" i="1"/>
  <c r="E169" i="1"/>
  <c r="E184" i="1"/>
  <c r="E185" i="1"/>
  <c r="E186" i="1"/>
  <c r="E187" i="1"/>
  <c r="E188" i="1"/>
  <c r="E189" i="1"/>
  <c r="E190" i="1"/>
  <c r="E191" i="1"/>
  <c r="E192" i="1"/>
  <c r="C193" i="1"/>
  <c r="D193" i="1"/>
  <c r="F193" i="1"/>
  <c r="E194" i="1"/>
  <c r="E195" i="1"/>
  <c r="E196" i="1"/>
  <c r="E197" i="1"/>
  <c r="E198" i="1"/>
  <c r="E199" i="1"/>
  <c r="E200" i="1"/>
  <c r="E201" i="1"/>
  <c r="E202" i="1"/>
  <c r="C207" i="1"/>
  <c r="D207" i="1"/>
  <c r="F207" i="1"/>
  <c r="E208" i="1"/>
  <c r="E209" i="1"/>
  <c r="E210" i="1"/>
  <c r="C211" i="1"/>
  <c r="E211" i="1" s="1"/>
  <c r="D211" i="1"/>
  <c r="F211" i="1"/>
  <c r="E212" i="1"/>
  <c r="E213" i="1"/>
  <c r="C225" i="1"/>
  <c r="D225" i="1"/>
  <c r="F225" i="1"/>
  <c r="E226" i="1"/>
  <c r="C227" i="1"/>
  <c r="D227" i="1"/>
  <c r="F227" i="1"/>
  <c r="E228" i="1"/>
  <c r="E229" i="1"/>
  <c r="C230" i="1"/>
  <c r="D230" i="1"/>
  <c r="F230" i="1"/>
  <c r="E231" i="1"/>
  <c r="E232" i="1"/>
  <c r="E233" i="1"/>
  <c r="C234" i="1"/>
  <c r="D234" i="1"/>
  <c r="F234" i="1"/>
  <c r="E235" i="1"/>
  <c r="C236" i="1"/>
  <c r="D236" i="1"/>
  <c r="F236" i="1"/>
  <c r="E237" i="1"/>
  <c r="C238" i="1"/>
  <c r="D238" i="1"/>
  <c r="F238" i="1"/>
  <c r="E239" i="1"/>
  <c r="E240" i="1"/>
  <c r="E241" i="1"/>
  <c r="C242" i="1"/>
  <c r="D242" i="1"/>
  <c r="F242" i="1"/>
  <c r="E243" i="1"/>
  <c r="E244" i="1"/>
  <c r="C245" i="1"/>
  <c r="D245" i="1"/>
  <c r="F245" i="1"/>
  <c r="E246" i="1"/>
  <c r="E247" i="1"/>
  <c r="C248" i="1"/>
  <c r="D248" i="1"/>
  <c r="F248" i="1"/>
  <c r="E249" i="1"/>
  <c r="E250" i="1"/>
  <c r="E251" i="1"/>
  <c r="E252" i="1"/>
  <c r="C253" i="1"/>
  <c r="D253" i="1"/>
  <c r="F253" i="1"/>
  <c r="E254" i="1"/>
  <c r="E255" i="1"/>
  <c r="E256" i="1"/>
  <c r="C269" i="1"/>
  <c r="D269" i="1"/>
  <c r="F269" i="1"/>
  <c r="E270" i="1"/>
  <c r="E271" i="1"/>
  <c r="C272" i="1"/>
  <c r="D272" i="1"/>
  <c r="F272" i="1"/>
  <c r="E273" i="1"/>
  <c r="C274" i="1"/>
  <c r="F274" i="1"/>
  <c r="E275" i="1"/>
  <c r="D274" i="1"/>
  <c r="E278" i="1"/>
  <c r="E279" i="1"/>
  <c r="E280" i="1"/>
  <c r="E281" i="1"/>
  <c r="D277" i="1"/>
  <c r="E284" i="1"/>
  <c r="C286" i="1"/>
  <c r="D286" i="1"/>
  <c r="F286" i="1"/>
  <c r="E287" i="1"/>
  <c r="E288" i="1"/>
  <c r="E290" i="1"/>
  <c r="E291" i="1"/>
  <c r="E292" i="1"/>
  <c r="E293" i="1"/>
  <c r="E294" i="1"/>
  <c r="C295" i="1"/>
  <c r="D295" i="1"/>
  <c r="F295" i="1"/>
  <c r="E296" i="1"/>
  <c r="C297" i="1"/>
  <c r="D297" i="1"/>
  <c r="F297" i="1"/>
  <c r="E298" i="1"/>
  <c r="E299" i="1"/>
  <c r="C311" i="1"/>
  <c r="D311" i="1"/>
  <c r="F311" i="1"/>
  <c r="E312" i="1"/>
  <c r="C315" i="1"/>
  <c r="D315" i="1"/>
  <c r="F315" i="1"/>
  <c r="E316" i="1"/>
  <c r="E317" i="1"/>
  <c r="C318" i="1"/>
  <c r="D318" i="1"/>
  <c r="F318" i="1"/>
  <c r="E319" i="1"/>
  <c r="E320" i="1"/>
  <c r="C321" i="1"/>
  <c r="D321" i="1"/>
  <c r="F321" i="1"/>
  <c r="E322" i="1"/>
  <c r="E323" i="1"/>
  <c r="C324" i="1"/>
  <c r="D324" i="1"/>
  <c r="E324" i="1" s="1"/>
  <c r="F324" i="1"/>
  <c r="E325" i="1"/>
  <c r="E326" i="1"/>
  <c r="E327" i="1"/>
  <c r="E328" i="1"/>
  <c r="C329" i="1"/>
  <c r="D329" i="1"/>
  <c r="F329" i="1"/>
  <c r="E330" i="1"/>
  <c r="C331" i="1"/>
  <c r="E332" i="1"/>
  <c r="E336" i="1"/>
  <c r="C337" i="1"/>
  <c r="D337" i="1"/>
  <c r="F337" i="1"/>
  <c r="E338" i="1"/>
  <c r="E339" i="1"/>
  <c r="E340" i="1"/>
  <c r="E342" i="1"/>
  <c r="D341" i="1"/>
  <c r="F341" i="1"/>
  <c r="C355" i="1"/>
  <c r="D355" i="1"/>
  <c r="F355" i="1"/>
  <c r="E356" i="1"/>
  <c r="E357" i="1"/>
  <c r="C358" i="1"/>
  <c r="D358" i="1"/>
  <c r="F358" i="1"/>
  <c r="E359" i="1"/>
  <c r="E360" i="1"/>
  <c r="C363" i="1"/>
  <c r="D363" i="1"/>
  <c r="F363" i="1"/>
  <c r="E364" i="1"/>
  <c r="E366" i="1"/>
  <c r="C367" i="1"/>
  <c r="D367" i="1"/>
  <c r="F367" i="1"/>
  <c r="E368" i="1"/>
  <c r="E369" i="1"/>
  <c r="E370" i="1"/>
  <c r="E371" i="1"/>
  <c r="C372" i="1"/>
  <c r="D372" i="1"/>
  <c r="F372" i="1"/>
  <c r="E373" i="1"/>
  <c r="D376" i="1"/>
  <c r="D375" i="1" s="1"/>
  <c r="E377" i="1"/>
  <c r="E378" i="1"/>
  <c r="E379" i="1"/>
  <c r="E380" i="1"/>
  <c r="E381" i="1"/>
  <c r="E383" i="1"/>
  <c r="E384" i="1"/>
  <c r="E385" i="1"/>
  <c r="C398" i="1"/>
  <c r="C397" i="1" s="1"/>
  <c r="D398" i="1"/>
  <c r="D397" i="1" s="1"/>
  <c r="F398" i="1"/>
  <c r="F397" i="1" s="1"/>
  <c r="E399" i="1"/>
  <c r="C402" i="1"/>
  <c r="D402" i="1"/>
  <c r="D401" i="1" s="1"/>
  <c r="F402" i="1"/>
  <c r="F401" i="1" s="1"/>
  <c r="E403" i="1"/>
  <c r="E404" i="1"/>
  <c r="E405" i="1"/>
  <c r="E406" i="1"/>
  <c r="E407" i="1"/>
  <c r="E408" i="1"/>
  <c r="E409" i="1"/>
  <c r="E410" i="1"/>
  <c r="E414" i="1"/>
  <c r="C417" i="1"/>
  <c r="D417" i="1"/>
  <c r="D416" i="1" s="1"/>
  <c r="F417" i="1"/>
  <c r="F416" i="1" s="1"/>
  <c r="E418" i="1"/>
  <c r="E419" i="1"/>
  <c r="E420" i="1"/>
  <c r="E421" i="1"/>
  <c r="E422" i="1"/>
  <c r="E423" i="1"/>
  <c r="E424" i="1"/>
  <c r="C427" i="1"/>
  <c r="E428" i="1"/>
  <c r="E440" i="1"/>
  <c r="E441" i="1"/>
  <c r="E442" i="1"/>
  <c r="E443" i="1"/>
  <c r="E444" i="1"/>
  <c r="E445" i="1"/>
  <c r="C446" i="1"/>
  <c r="D446" i="1"/>
  <c r="F446" i="1"/>
  <c r="E447" i="1"/>
  <c r="E448" i="1"/>
  <c r="E449" i="1"/>
  <c r="C450" i="1"/>
  <c r="D450" i="1"/>
  <c r="F450" i="1"/>
  <c r="E451" i="1"/>
  <c r="E452" i="1"/>
  <c r="E453" i="1"/>
  <c r="E454" i="1"/>
  <c r="C455" i="1"/>
  <c r="D455" i="1"/>
  <c r="F455" i="1"/>
  <c r="E456" i="1"/>
  <c r="E457" i="1"/>
  <c r="E458" i="1"/>
  <c r="E459" i="1"/>
  <c r="C462" i="1"/>
  <c r="D462" i="1"/>
  <c r="F462" i="1"/>
  <c r="E463" i="1"/>
  <c r="E464" i="1"/>
  <c r="E465" i="1"/>
  <c r="E466" i="1"/>
  <c r="E467" i="1"/>
  <c r="C468" i="1"/>
  <c r="D468" i="1"/>
  <c r="F468" i="1"/>
  <c r="E469" i="1"/>
  <c r="D470" i="1"/>
  <c r="F470" i="1"/>
  <c r="F461" i="1" s="1"/>
  <c r="E471" i="1"/>
  <c r="C470" i="1"/>
  <c r="E470" i="1" s="1"/>
  <c r="E472" i="1"/>
  <c r="C484" i="1"/>
  <c r="D484" i="1"/>
  <c r="F484" i="1"/>
  <c r="E485" i="1"/>
  <c r="E486" i="1"/>
  <c r="E487" i="1"/>
  <c r="D488" i="1"/>
  <c r="F488" i="1"/>
  <c r="E489" i="1"/>
  <c r="E491" i="1"/>
  <c r="E492" i="1"/>
  <c r="C495" i="1"/>
  <c r="D495" i="1"/>
  <c r="F495" i="1"/>
  <c r="E496" i="1"/>
  <c r="E497" i="1"/>
  <c r="E498" i="1"/>
  <c r="E499" i="1"/>
  <c r="C500" i="1"/>
  <c r="D500" i="1"/>
  <c r="F500" i="1"/>
  <c r="E501" i="1"/>
  <c r="E502" i="1"/>
  <c r="E503" i="1"/>
  <c r="E504" i="1"/>
  <c r="C505" i="1"/>
  <c r="D505" i="1"/>
  <c r="F505" i="1"/>
  <c r="E506" i="1"/>
  <c r="E507" i="1"/>
  <c r="E508" i="1"/>
  <c r="E509" i="1"/>
  <c r="E510" i="1"/>
  <c r="E529" i="1"/>
  <c r="E531" i="1"/>
  <c r="E533" i="1"/>
  <c r="E535" i="1"/>
  <c r="E539" i="1"/>
  <c r="E544" i="1"/>
  <c r="E545" i="1"/>
  <c r="E546" i="1"/>
  <c r="E548" i="1"/>
  <c r="C550" i="1"/>
  <c r="D550" i="1"/>
  <c r="F550" i="1"/>
  <c r="E551" i="1"/>
  <c r="E552" i="1"/>
  <c r="E553" i="1"/>
  <c r="E554" i="1"/>
  <c r="E555" i="1"/>
  <c r="E556" i="1"/>
  <c r="E557" i="1"/>
  <c r="E558" i="1"/>
  <c r="E571" i="1"/>
  <c r="D575" i="1"/>
  <c r="F575" i="1"/>
  <c r="E576" i="1"/>
  <c r="E578" i="1"/>
  <c r="C582" i="1"/>
  <c r="D582" i="1"/>
  <c r="F582" i="1"/>
  <c r="E584" i="1"/>
  <c r="E586" i="1"/>
  <c r="E588" i="1"/>
  <c r="C590" i="1"/>
  <c r="D590" i="1"/>
  <c r="F590" i="1"/>
  <c r="E591" i="1"/>
  <c r="E592" i="1"/>
  <c r="E593" i="1"/>
  <c r="E594" i="1"/>
  <c r="E597" i="1"/>
  <c r="E599" i="1"/>
  <c r="E612" i="1"/>
  <c r="C614" i="1"/>
  <c r="D614" i="1"/>
  <c r="F614" i="1"/>
  <c r="E615" i="1"/>
  <c r="E616" i="1"/>
  <c r="E617" i="1"/>
  <c r="E618" i="1"/>
  <c r="E619" i="1"/>
  <c r="E620" i="1"/>
  <c r="E621" i="1"/>
  <c r="E625" i="1"/>
  <c r="E627" i="1"/>
  <c r="E629" i="1"/>
  <c r="E632" i="1"/>
  <c r="C633" i="1"/>
  <c r="C631" i="1" s="1"/>
  <c r="D633" i="1"/>
  <c r="F633" i="1"/>
  <c r="F631" i="1" s="1"/>
  <c r="E634" i="1"/>
  <c r="E636" i="1"/>
  <c r="E637" i="1"/>
  <c r="E639" i="1"/>
  <c r="E641" i="1"/>
  <c r="F643" i="1"/>
  <c r="E655" i="1"/>
  <c r="C658" i="1"/>
  <c r="D658" i="1"/>
  <c r="F658" i="1"/>
  <c r="E660" i="1"/>
  <c r="E661" i="1"/>
  <c r="E662" i="1"/>
  <c r="C663" i="1"/>
  <c r="D663" i="1"/>
  <c r="F663" i="1"/>
  <c r="E664" i="1"/>
  <c r="E665" i="1"/>
  <c r="E667" i="1"/>
  <c r="C669" i="1"/>
  <c r="D669" i="1"/>
  <c r="F669" i="1"/>
  <c r="E670" i="1"/>
  <c r="E671" i="1"/>
  <c r="E672" i="1"/>
  <c r="E673" i="1"/>
  <c r="E675" i="1"/>
  <c r="E677" i="1"/>
  <c r="C679" i="1"/>
  <c r="F679" i="1"/>
  <c r="E681" i="1"/>
  <c r="E682" i="1"/>
  <c r="E683" i="1"/>
  <c r="E684" i="1"/>
  <c r="E685" i="1"/>
  <c r="E311" i="1"/>
  <c r="E248" i="1"/>
  <c r="E669" i="1"/>
  <c r="C657" i="1"/>
  <c r="E468" i="1"/>
  <c r="E495" i="1"/>
  <c r="E355" i="1"/>
  <c r="E315" i="1"/>
  <c r="E207" i="1"/>
  <c r="E98" i="1"/>
  <c r="C14" i="1"/>
  <c r="C362" i="1"/>
  <c r="D289" i="1"/>
  <c r="D115" i="1"/>
  <c r="E115" i="1" s="1"/>
  <c r="D14" i="1"/>
  <c r="E285" i="1"/>
  <c r="E276" i="1"/>
  <c r="E68" i="1"/>
  <c r="E14" i="1"/>
  <c r="D268" i="1" l="1"/>
  <c r="F206" i="1"/>
  <c r="F57" i="1"/>
  <c r="F426" i="1"/>
  <c r="D426" i="1"/>
  <c r="F268" i="1"/>
  <c r="D206" i="1"/>
  <c r="D57" i="1"/>
  <c r="E55" i="1"/>
  <c r="D39" i="1"/>
  <c r="E39" i="1" s="1"/>
  <c r="E590" i="1"/>
  <c r="E167" i="1"/>
  <c r="E527" i="1"/>
  <c r="E541" i="1"/>
  <c r="E272" i="1"/>
  <c r="F569" i="1"/>
  <c r="E71" i="1"/>
  <c r="E60" i="1"/>
  <c r="F362" i="1"/>
  <c r="D362" i="1"/>
  <c r="E362" i="1" s="1"/>
  <c r="C57" i="1"/>
  <c r="F14" i="1"/>
  <c r="E119" i="1"/>
  <c r="E331" i="1"/>
  <c r="E203" i="1"/>
  <c r="E343" i="1"/>
  <c r="F657" i="1"/>
  <c r="F623" i="1" s="1"/>
  <c r="C569" i="1"/>
  <c r="E500" i="1"/>
  <c r="F494" i="1"/>
  <c r="F483" i="1"/>
  <c r="E484" i="1"/>
  <c r="D461" i="1"/>
  <c r="E455" i="1"/>
  <c r="E402" i="1"/>
  <c r="E382" i="1"/>
  <c r="E372" i="1"/>
  <c r="E367" i="1"/>
  <c r="E358" i="1"/>
  <c r="E337" i="1"/>
  <c r="E329" i="1"/>
  <c r="E321" i="1"/>
  <c r="F314" i="1"/>
  <c r="E318" i="1"/>
  <c r="E297" i="1"/>
  <c r="E295" i="1"/>
  <c r="E286" i="1"/>
  <c r="E274" i="1"/>
  <c r="E245" i="1"/>
  <c r="E242" i="1"/>
  <c r="E238" i="1"/>
  <c r="E236" i="1"/>
  <c r="E234" i="1"/>
  <c r="E230" i="1"/>
  <c r="E204" i="1"/>
  <c r="E162" i="1"/>
  <c r="E139" i="1"/>
  <c r="E127" i="1"/>
  <c r="E109" i="1"/>
  <c r="E84" i="1"/>
  <c r="E79" i="1"/>
  <c r="E74" i="1"/>
  <c r="E58" i="1"/>
  <c r="F30" i="1"/>
  <c r="E34" i="1"/>
  <c r="E289" i="1"/>
  <c r="D483" i="1"/>
  <c r="C30" i="1"/>
  <c r="E614" i="1"/>
  <c r="E15" i="1"/>
  <c r="E365" i="1"/>
  <c r="E158" i="1"/>
  <c r="E505" i="1"/>
  <c r="E450" i="1"/>
  <c r="E446" i="1"/>
  <c r="E269" i="1"/>
  <c r="E253" i="1"/>
  <c r="E227" i="1"/>
  <c r="E147" i="1"/>
  <c r="E427" i="1"/>
  <c r="C401" i="1"/>
  <c r="D494" i="1"/>
  <c r="E118" i="1"/>
  <c r="E643" i="1"/>
  <c r="E663" i="1"/>
  <c r="E550" i="1"/>
  <c r="E363" i="1"/>
  <c r="E193" i="1"/>
  <c r="D657" i="1"/>
  <c r="E657" i="1" s="1"/>
  <c r="D631" i="1"/>
  <c r="E633" i="1"/>
  <c r="D569" i="1"/>
  <c r="E582" i="1"/>
  <c r="F335" i="1"/>
  <c r="E31" i="1"/>
  <c r="D30" i="1"/>
  <c r="E30" i="1" s="1"/>
  <c r="E154" i="1"/>
  <c r="E283" i="1"/>
  <c r="C335" i="1"/>
  <c r="E341" i="1"/>
  <c r="C488" i="1"/>
  <c r="E490" i="1"/>
  <c r="F525" i="1"/>
  <c r="D525" i="1"/>
  <c r="C277" i="1"/>
  <c r="E282" i="1"/>
  <c r="D679" i="1"/>
  <c r="E679" i="1" s="1"/>
  <c r="E680" i="1"/>
  <c r="E57" i="1"/>
  <c r="E658" i="1"/>
  <c r="C494" i="1"/>
  <c r="E462" i="1"/>
  <c r="C461" i="1"/>
  <c r="E461" i="1" s="1"/>
  <c r="C426" i="1"/>
  <c r="C416" i="1"/>
  <c r="E416" i="1" s="1"/>
  <c r="E417" i="1"/>
  <c r="C375" i="1"/>
  <c r="E375" i="1" s="1"/>
  <c r="E376" i="1"/>
  <c r="D335" i="1"/>
  <c r="E335" i="1" s="1"/>
  <c r="C314" i="1"/>
  <c r="D314" i="1"/>
  <c r="E225" i="1"/>
  <c r="C206" i="1"/>
  <c r="E401" i="1"/>
  <c r="E575" i="1"/>
  <c r="C525" i="1"/>
  <c r="E106" i="1"/>
  <c r="E96" i="1"/>
  <c r="E537" i="1"/>
  <c r="E631" i="1"/>
  <c r="E398" i="1"/>
  <c r="E397" i="1" s="1"/>
  <c r="E411" i="1"/>
  <c r="D623" i="1"/>
  <c r="C623" i="1"/>
  <c r="E24" i="1"/>
  <c r="E25" i="1"/>
  <c r="E525" i="1" l="1"/>
  <c r="D513" i="1"/>
  <c r="E314" i="1"/>
  <c r="E569" i="1"/>
  <c r="E494" i="1"/>
  <c r="C513" i="1"/>
  <c r="F513" i="1"/>
  <c r="E426" i="1"/>
  <c r="E623" i="1"/>
  <c r="E277" i="1"/>
  <c r="C268" i="1"/>
  <c r="E268" i="1" s="1"/>
  <c r="E488" i="1"/>
  <c r="C483" i="1"/>
  <c r="E483" i="1" s="1"/>
  <c r="E206" i="1"/>
  <c r="E513" i="1"/>
  <c r="D182" i="1"/>
  <c r="D10" i="1" s="1"/>
  <c r="E10" i="1" s="1"/>
  <c r="D12" i="1" l="1"/>
  <c r="E183" i="1"/>
  <c r="C182" i="1"/>
  <c r="E182" i="1" s="1"/>
  <c r="C12" i="1" l="1"/>
  <c r="E12" i="1" s="1"/>
  <c r="F12" i="1"/>
  <c r="F182" i="1"/>
</calcChain>
</file>

<file path=xl/sharedStrings.xml><?xml version="1.0" encoding="utf-8"?>
<sst xmlns="http://schemas.openxmlformats.org/spreadsheetml/2006/main" count="621" uniqueCount="424">
  <si>
    <t xml:space="preserve">        6222 Psychiatric &amp; substance abuse hospitals</t>
  </si>
  <si>
    <t xml:space="preserve">        6223 Other hospitals</t>
  </si>
  <si>
    <t xml:space="preserve">     623 Nursing &amp; residential care facilities</t>
  </si>
  <si>
    <t xml:space="preserve">        6231 Nursing care facilities</t>
  </si>
  <si>
    <t xml:space="preserve">        6232 Residential mental health facilities</t>
  </si>
  <si>
    <t xml:space="preserve">        6233 Community care facilities for the elderly</t>
  </si>
  <si>
    <t xml:space="preserve">        6239 Other residential care facilities</t>
  </si>
  <si>
    <t xml:space="preserve">     624 Social assistance</t>
  </si>
  <si>
    <t xml:space="preserve">        6241 Individual &amp; family services</t>
  </si>
  <si>
    <t xml:space="preserve">        6242 Emergency &amp; other relief services</t>
  </si>
  <si>
    <t xml:space="preserve">        6243 Vocational rehabilitation services</t>
  </si>
  <si>
    <t xml:space="preserve">        6244 Child day care services</t>
  </si>
  <si>
    <t xml:space="preserve">        7111 Performing arts companies</t>
  </si>
  <si>
    <t xml:space="preserve">        7112 Spectator sports</t>
  </si>
  <si>
    <t xml:space="preserve">        7113 Promoters of performing arts &amp; sports</t>
  </si>
  <si>
    <t xml:space="preserve">        7114 Agents &amp; managers for public figures</t>
  </si>
  <si>
    <t xml:space="preserve">        7115 Independent artists, writers &amp; performers</t>
  </si>
  <si>
    <t xml:space="preserve">     712 Museums, historical sites, zoos &amp; parks</t>
  </si>
  <si>
    <t xml:space="preserve">        7131 Amusement parks &amp; arcades</t>
  </si>
  <si>
    <t xml:space="preserve">     721 Accommodation</t>
  </si>
  <si>
    <t xml:space="preserve">        7211 Traveler accommodation</t>
  </si>
  <si>
    <t xml:space="preserve">        7212 RV parks &amp; recreational camps</t>
  </si>
  <si>
    <t xml:space="preserve">        7213 Rooming &amp; boarding houses</t>
  </si>
  <si>
    <t xml:space="preserve">     722 Food services &amp; drinking places</t>
  </si>
  <si>
    <t xml:space="preserve">        7221 Full-service restaurants</t>
  </si>
  <si>
    <t xml:space="preserve">        7222 Limited-service eating places</t>
  </si>
  <si>
    <t xml:space="preserve">        7223 Special food services</t>
  </si>
  <si>
    <t xml:space="preserve">        7224 Drinking places, alcoholic beverages</t>
  </si>
  <si>
    <t xml:space="preserve">     811 Repair &amp; maintenance</t>
  </si>
  <si>
    <t xml:space="preserve">        8111 Automotive repair &amp; maintenance</t>
  </si>
  <si>
    <t xml:space="preserve">        8112 Electronic equipment repair &amp; maintenance</t>
  </si>
  <si>
    <t xml:space="preserve">        8113 Commercial machinery repair &amp; maintenance</t>
  </si>
  <si>
    <t xml:space="preserve">        8114 Household goods repair &amp; maintenance</t>
  </si>
  <si>
    <t xml:space="preserve">     812 Personal &amp; laundry services</t>
  </si>
  <si>
    <t xml:space="preserve">        8121 Personal care services</t>
  </si>
  <si>
    <t xml:space="preserve">        8122 Death care services</t>
  </si>
  <si>
    <t xml:space="preserve">        8123 Drycleaning &amp; laundry services</t>
  </si>
  <si>
    <t xml:space="preserve">        8129 Other personal services</t>
  </si>
  <si>
    <t xml:space="preserve">     813 Membership associations &amp; organizations</t>
  </si>
  <si>
    <t xml:space="preserve">        8131 Religious organizations</t>
  </si>
  <si>
    <t xml:space="preserve">        8132 Grantmaking &amp; giving services</t>
  </si>
  <si>
    <t xml:space="preserve">        8133 Social advocacy organizations</t>
  </si>
  <si>
    <t xml:space="preserve">        8134 Civic &amp; social organizations</t>
  </si>
  <si>
    <t xml:space="preserve">        8139 Professional &amp; similar organizations</t>
  </si>
  <si>
    <t xml:space="preserve">        4911 U.S. Postal Service</t>
  </si>
  <si>
    <t xml:space="preserve">        9211 Executive, legislative &amp; general government</t>
  </si>
  <si>
    <t xml:space="preserve">        9231 Administration of human resource programs</t>
  </si>
  <si>
    <t xml:space="preserve">        9241 Administration of environmental programs</t>
  </si>
  <si>
    <t xml:space="preserve">        9251 Community &amp; housing program administration</t>
  </si>
  <si>
    <t xml:space="preserve">        9261 Administration of economic programs</t>
  </si>
  <si>
    <t xml:space="preserve">        9281 National security &amp; international affairs</t>
  </si>
  <si>
    <t xml:space="preserve">        9221 Justice, public order &amp; safety activities</t>
  </si>
  <si>
    <t xml:space="preserve">        2211 Power generation &amp; supply</t>
  </si>
  <si>
    <t xml:space="preserve">        2213 Water, sewage &amp; other systems</t>
  </si>
  <si>
    <t xml:space="preserve">     237 Heavy &amp; civil engineering construction</t>
  </si>
  <si>
    <t xml:space="preserve">        2381 Building foundation &amp; exterior contractors</t>
  </si>
  <si>
    <t xml:space="preserve">        3112 Grain &amp; oilseed milling</t>
  </si>
  <si>
    <t xml:space="preserve">        3113 Sugar &amp; confectionery product manufacturing</t>
  </si>
  <si>
    <t xml:space="preserve">        3114 Fruit &amp; vegetable preserving &amp; specialty</t>
  </si>
  <si>
    <t xml:space="preserve">        3116 Animal slaughtering &amp; processing</t>
  </si>
  <si>
    <t xml:space="preserve">        3152 Cut &amp; sew apparel manufacturing</t>
  </si>
  <si>
    <t xml:space="preserve">        3211 Sawmills &amp; wood preservation</t>
  </si>
  <si>
    <t xml:space="preserve">        3321 Forging &amp; stamping</t>
  </si>
  <si>
    <t xml:space="preserve">        3323 Architectural &amp; structural metals mfg.</t>
  </si>
  <si>
    <t xml:space="preserve">     441 Motor vehicle &amp; parts dealers</t>
  </si>
  <si>
    <t xml:space="preserve">     442 Furniture &amp; home furnishings stores</t>
  </si>
  <si>
    <t xml:space="preserve">     443 Electronics &amp; appliance stores</t>
  </si>
  <si>
    <t xml:space="preserve">        4431 Electronics &amp; appliance stores</t>
  </si>
  <si>
    <t xml:space="preserve">     445 Food &amp; beverage stores</t>
  </si>
  <si>
    <t xml:space="preserve">     446 Health &amp; personal care stores</t>
  </si>
  <si>
    <t xml:space="preserve">        4461 Health &amp; personal care stores</t>
  </si>
  <si>
    <t xml:space="preserve">     492 Couriers &amp; messengers</t>
  </si>
  <si>
    <t xml:space="preserve">     493 Warehousing &amp; storage</t>
  </si>
  <si>
    <t xml:space="preserve">     711 Performing arts &amp; spectator sports</t>
  </si>
  <si>
    <t xml:space="preserve">     713 Amusements, gambling &amp; recreation</t>
  </si>
  <si>
    <t xml:space="preserve">     211  Oil &amp; gas extraction</t>
  </si>
  <si>
    <t xml:space="preserve">     212 Mining, except oil &amp; gas</t>
  </si>
  <si>
    <t xml:space="preserve">        2373 Highway, street &amp; bridge construction</t>
  </si>
  <si>
    <t xml:space="preserve">        3322 Cutlery &amp; handtool manufacturing</t>
  </si>
  <si>
    <t xml:space="preserve">        4413 Auto parts, accessories &amp; tire stores</t>
  </si>
  <si>
    <t xml:space="preserve">        4453 Beer, wine &amp; liquor stores</t>
  </si>
  <si>
    <t xml:space="preserve">        9221Justice, public order &amp; safety activities</t>
  </si>
  <si>
    <t>Average</t>
  </si>
  <si>
    <t xml:space="preserve">Monthly </t>
  </si>
  <si>
    <t>Employment</t>
  </si>
  <si>
    <t>Monthly</t>
  </si>
  <si>
    <t>1st Quarter</t>
  </si>
  <si>
    <t>Establishments</t>
  </si>
  <si>
    <t>Wages</t>
  </si>
  <si>
    <t>Wage</t>
  </si>
  <si>
    <t xml:space="preserve"> </t>
  </si>
  <si>
    <t>TOTAL GOVERNMENT</t>
  </si>
  <si>
    <t>FEDERAL GOVERNMENT</t>
  </si>
  <si>
    <t>STATE GOVERNMENT</t>
  </si>
  <si>
    <t>LOCAL GOVERNMENT</t>
  </si>
  <si>
    <t>Employees on Nonagricultural Payrolls</t>
  </si>
  <si>
    <t xml:space="preserve">        2121 Coal mining</t>
  </si>
  <si>
    <t xml:space="preserve">        2122 Metal ore mining</t>
  </si>
  <si>
    <t xml:space="preserve">        2123 Nonmetallic mineral mining &amp; quarrying</t>
  </si>
  <si>
    <t xml:space="preserve">     213 Support activities for mining</t>
  </si>
  <si>
    <t xml:space="preserve">        2131 Support activities for mining</t>
  </si>
  <si>
    <t xml:space="preserve">     221 Utilities</t>
  </si>
  <si>
    <t xml:space="preserve">        2212 Natural gas distribution</t>
  </si>
  <si>
    <t xml:space="preserve">     236 Construction of buildings</t>
  </si>
  <si>
    <t xml:space="preserve">        2361 Residential building construction</t>
  </si>
  <si>
    <t xml:space="preserve">        2362 Nonresidential building construction</t>
  </si>
  <si>
    <t xml:space="preserve">        2371 Utility system construction</t>
  </si>
  <si>
    <t xml:space="preserve">        2379 Other heavy construction</t>
  </si>
  <si>
    <t xml:space="preserve">     238 Specialty trade contractors</t>
  </si>
  <si>
    <t xml:space="preserve">        2382 Building equipment contractors</t>
  </si>
  <si>
    <t xml:space="preserve">        2383 Building finishing contractors</t>
  </si>
  <si>
    <t xml:space="preserve">        2389 Other specialty trade contractors</t>
  </si>
  <si>
    <t xml:space="preserve">     311 Food manufacturing</t>
  </si>
  <si>
    <t xml:space="preserve">        3115 Dairy product manufacturing</t>
  </si>
  <si>
    <t xml:space="preserve">        3118 Bakeries &amp;  tortilla manufacturing</t>
  </si>
  <si>
    <t xml:space="preserve">     312 Beverage &amp; tobacco product manufacturing</t>
  </si>
  <si>
    <t xml:space="preserve">     313 Textile mills</t>
  </si>
  <si>
    <t xml:space="preserve">     314 Textile product mills</t>
  </si>
  <si>
    <t xml:space="preserve">        3141 Textile furnishings mills</t>
  </si>
  <si>
    <t xml:space="preserve">        3149 Other textile product mills</t>
  </si>
  <si>
    <t xml:space="preserve">     315 Apparel manufacturing</t>
  </si>
  <si>
    <t xml:space="preserve">     316 Leather &amp; allied product manufacturing</t>
  </si>
  <si>
    <t xml:space="preserve">     321 Wood product manufacturing</t>
  </si>
  <si>
    <t xml:space="preserve">        3219 Other wood product manufacturing</t>
  </si>
  <si>
    <t xml:space="preserve">     322 Paper manufacturing</t>
  </si>
  <si>
    <t xml:space="preserve">     323 Printing &amp; related support activities</t>
  </si>
  <si>
    <t xml:space="preserve">        3231 Printing &amp; related support activities</t>
  </si>
  <si>
    <t xml:space="preserve">     324 Petroleum &amp; coal products mfg.</t>
  </si>
  <si>
    <t xml:space="preserve">        3241 Petroleum &amp; coal products mfg.</t>
  </si>
  <si>
    <t xml:space="preserve">     325 Chemical manufacturing</t>
  </si>
  <si>
    <t xml:space="preserve">        3251 Basic chemical manufacturing</t>
  </si>
  <si>
    <t xml:space="preserve">        3252 Resin, rubber &amp; artificial fibers mfg.</t>
  </si>
  <si>
    <t xml:space="preserve">        3253 Agricultural chemical manufacturing</t>
  </si>
  <si>
    <t xml:space="preserve">        3255 Paint, coating &amp; adhesive manufacturing</t>
  </si>
  <si>
    <t xml:space="preserve">        3256 Soap, cleaning compound &amp; toiletry mfg.</t>
  </si>
  <si>
    <t xml:space="preserve">        3259 Other chemical product &amp; preparation mfg.</t>
  </si>
  <si>
    <t xml:space="preserve">     326 Plastics &amp; rubber products manufacturing</t>
  </si>
  <si>
    <t xml:space="preserve">        3261 Plastics product manufacturing</t>
  </si>
  <si>
    <t xml:space="preserve">        3262 Rubber product manufacturing</t>
  </si>
  <si>
    <t xml:space="preserve">     327 Nonmetallic mineral product manufacturing</t>
  </si>
  <si>
    <t xml:space="preserve">        3271 Clay product &amp; refractory manufacturing</t>
  </si>
  <si>
    <t xml:space="preserve">        3272 Glass &amp; glass product manufacturing</t>
  </si>
  <si>
    <t xml:space="preserve">        3273 Cement &amp; concrete product manufacturing</t>
  </si>
  <si>
    <t xml:space="preserve">        3274 Lime &amp; gypsum product manufacturing</t>
  </si>
  <si>
    <t xml:space="preserve">        3279 Other nonmetallic mineral products</t>
  </si>
  <si>
    <t xml:space="preserve">     331 Primary metal manufacturing</t>
  </si>
  <si>
    <t xml:space="preserve">        3312 Steel product mfg. from purchased steel</t>
  </si>
  <si>
    <t xml:space="preserve">        3314 Other nonferrous metal production</t>
  </si>
  <si>
    <t xml:space="preserve">     332 Fabricated metal product manufacturing</t>
  </si>
  <si>
    <t xml:space="preserve">        3324 Boiler, tank &amp; shipping container mfg.</t>
  </si>
  <si>
    <t xml:space="preserve">        3326 Spring &amp; wire product manufacturing</t>
  </si>
  <si>
    <t xml:space="preserve">        3327 Machine shops &amp; threaded product mfg.</t>
  </si>
  <si>
    <t xml:space="preserve">        3328 Coating, engraving &amp; heat treating metals</t>
  </si>
  <si>
    <t xml:space="preserve">     333 Machinery manufacturing</t>
  </si>
  <si>
    <t xml:space="preserve">        3331 Ag., construction &amp; mining machinery mfg.</t>
  </si>
  <si>
    <t xml:space="preserve">        3332 Industrial machinery manufacturing</t>
  </si>
  <si>
    <t xml:space="preserve">        3333 Commercial &amp; service industry machinery</t>
  </si>
  <si>
    <t xml:space="preserve">        3334 HVAC &amp; commercial refrigeration equipment</t>
  </si>
  <si>
    <t xml:space="preserve">        3335 Metalworking machinery manufacturing</t>
  </si>
  <si>
    <t xml:space="preserve">        3336 Turbine &amp; power transmission equipment mfg.</t>
  </si>
  <si>
    <t xml:space="preserve">        3339 Other general purpose machinery mfg.</t>
  </si>
  <si>
    <t xml:space="preserve">     334 Computer &amp; electronic product manufacturing</t>
  </si>
  <si>
    <t xml:space="preserve">        3341 Computer &amp; peripheral equipment mfg.</t>
  </si>
  <si>
    <t xml:space="preserve">        3342 Communications equipment manufacturing</t>
  </si>
  <si>
    <t xml:space="preserve">        3343 Audio &amp; video equipment manufacturing</t>
  </si>
  <si>
    <t xml:space="preserve">        3344 Semiconductor &amp; electronic component mfg.</t>
  </si>
  <si>
    <t xml:space="preserve">        3345 Electronic instrument manufacturing</t>
  </si>
  <si>
    <t xml:space="preserve">        3346 Magnetic media manufacturing &amp; reproducing</t>
  </si>
  <si>
    <t xml:space="preserve">     335 Electrical equipment &amp; appliance mfg.</t>
  </si>
  <si>
    <t xml:space="preserve">        3351 Electric lighting equipment manufacturing</t>
  </si>
  <si>
    <t xml:space="preserve">        3353 Electrical equipment manufacturing</t>
  </si>
  <si>
    <t xml:space="preserve">     336 Transportation equipment manufacturing</t>
  </si>
  <si>
    <t xml:space="preserve">        3362 Motor vehicle body &amp; trailer manufacturing</t>
  </si>
  <si>
    <t xml:space="preserve">        3363 Motor vehicle parts manufacturing</t>
  </si>
  <si>
    <t xml:space="preserve">        3364 Aerospace product &amp; parts manufacturing</t>
  </si>
  <si>
    <t xml:space="preserve">     337 Furniture &amp; related product manufacturing</t>
  </si>
  <si>
    <t xml:space="preserve">        3371 Household &amp; institutional furniture mfg.</t>
  </si>
  <si>
    <t xml:space="preserve">        3372 Office furniture &amp; fixtures manufacturing</t>
  </si>
  <si>
    <t xml:space="preserve">        3379 Other furniture related product manufacturing</t>
  </si>
  <si>
    <t xml:space="preserve">     339 Miscellaneous manufacturing</t>
  </si>
  <si>
    <t xml:space="preserve">        3391 Medical equipment &amp; supplies manufacturing</t>
  </si>
  <si>
    <t xml:space="preserve">        3399 Other miscellaneous manufacturing</t>
  </si>
  <si>
    <t xml:space="preserve">        3111 Animal food manufacturing</t>
  </si>
  <si>
    <t xml:space="preserve">        3212 Plywood &amp; engineered wood product mfg.</t>
  </si>
  <si>
    <t xml:space="preserve">        3254 Pharmaceutical &amp; medicine mfg.</t>
  </si>
  <si>
    <t xml:space="preserve">        4411 Automobile dealers</t>
  </si>
  <si>
    <t xml:space="preserve">        4412 Other motor vehicle dealers</t>
  </si>
  <si>
    <t xml:space="preserve">        4421 Furniture stores</t>
  </si>
  <si>
    <t xml:space="preserve">        4422 Home furnishings stores</t>
  </si>
  <si>
    <t xml:space="preserve">     444 Building material &amp; garden supply stores</t>
  </si>
  <si>
    <t xml:space="preserve">        4441 Building material &amp; supplies dealers</t>
  </si>
  <si>
    <t xml:space="preserve">        4442 Lawn &amp; garden equipment &amp; supplies stores</t>
  </si>
  <si>
    <t xml:space="preserve">        4451 Grocery stores</t>
  </si>
  <si>
    <t xml:space="preserve">        4452 Specialty food stores</t>
  </si>
  <si>
    <t xml:space="preserve">     447 Gasoline stations</t>
  </si>
  <si>
    <t xml:space="preserve">        4471 Gasoline stations</t>
  </si>
  <si>
    <t xml:space="preserve">     448 Clothing &amp; clothing accessories stores</t>
  </si>
  <si>
    <t xml:space="preserve">        4481 Clothing stores</t>
  </si>
  <si>
    <t xml:space="preserve">        4482 Shoe stores</t>
  </si>
  <si>
    <t xml:space="preserve">        4483 Jewelry, luggage &amp; leather goods stores</t>
  </si>
  <si>
    <t xml:space="preserve">     451 Sporting goods, hobby, book &amp; music stores</t>
  </si>
  <si>
    <t xml:space="preserve">        4512 Book, periodical &amp; music stores</t>
  </si>
  <si>
    <t xml:space="preserve">     452 General merchandise stores</t>
  </si>
  <si>
    <t xml:space="preserve">        4521 Department stores</t>
  </si>
  <si>
    <t xml:space="preserve">        4529 Other general merchandise stores</t>
  </si>
  <si>
    <t xml:space="preserve">     453 Miscellaneous store retailers</t>
  </si>
  <si>
    <t xml:space="preserve">         4532 Office supplies, stationery &amp; gift stores</t>
  </si>
  <si>
    <t xml:space="preserve">         4533 Used merchandise stores</t>
  </si>
  <si>
    <t xml:space="preserve">         4539 Other miscellaneous store retailers</t>
  </si>
  <si>
    <t xml:space="preserve">     454 Nonstore retailers</t>
  </si>
  <si>
    <t xml:space="preserve">        4541 Electronic shopping &amp; mail-order houses</t>
  </si>
  <si>
    <t xml:space="preserve">        4542 Vending machine operators</t>
  </si>
  <si>
    <t xml:space="preserve">        4543 Direct selling establishments</t>
  </si>
  <si>
    <t xml:space="preserve">     423 Merchant wholesalers, durable goods</t>
  </si>
  <si>
    <t xml:space="preserve">        4231 Motor vehicle &amp; parts merchant wholesalers</t>
  </si>
  <si>
    <t xml:space="preserve">        4232 Furniture &amp; furnishing merchant wholesalers</t>
  </si>
  <si>
    <t xml:space="preserve">        4233 Lumber &amp; const. supply merchant wholesalers</t>
  </si>
  <si>
    <t xml:space="preserve">        4234 Commercial equip. merchant wholesalers</t>
  </si>
  <si>
    <t xml:space="preserve">        4235 Metal &amp; mineral merchant wholesalers</t>
  </si>
  <si>
    <t xml:space="preserve">        4236 Electric goods merchant wholesalers</t>
  </si>
  <si>
    <t xml:space="preserve">        4237 Hardware &amp; plumbing merchant wholesalers</t>
  </si>
  <si>
    <t xml:space="preserve">        4238 Machinery &amp; supply merchant wholesalers</t>
  </si>
  <si>
    <t xml:space="preserve">        4239 Misc. durable goods merchant wholesalers</t>
  </si>
  <si>
    <t xml:space="preserve">     424 Merchant wholesalers, nondurable goods</t>
  </si>
  <si>
    <t xml:space="preserve">        4242 Druggists' goods merchant wholesalers</t>
  </si>
  <si>
    <t xml:space="preserve">        4243 Apparel &amp; piece goods merchant wholesalers</t>
  </si>
  <si>
    <t xml:space="preserve">        4244 Grocery &amp; Related Product Wholesalers</t>
  </si>
  <si>
    <t xml:space="preserve">        4245 Farm product raw material merch. whls.</t>
  </si>
  <si>
    <t xml:space="preserve">        4246 Chemical merchant wholesalers</t>
  </si>
  <si>
    <t xml:space="preserve">        4247 Petroleum merchant wholesalers</t>
  </si>
  <si>
    <t xml:space="preserve">        4248 Alcoholic beverage merchant wholesalers</t>
  </si>
  <si>
    <t xml:space="preserve">        4249 Misc. nondurable goods merchant wholesalers</t>
  </si>
  <si>
    <t xml:space="preserve">     425 Electronic markets &amp; agents &amp; brokers</t>
  </si>
  <si>
    <t xml:space="preserve">        4251 Electronic markets &amp; agents &amp; brokers</t>
  </si>
  <si>
    <t xml:space="preserve">     481 Air transportation</t>
  </si>
  <si>
    <t xml:space="preserve">        4811 Scheduled air transportation</t>
  </si>
  <si>
    <t xml:space="preserve">        4812 Nonscheduled air transportation</t>
  </si>
  <si>
    <t xml:space="preserve">     482 Rail transportation</t>
  </si>
  <si>
    <t xml:space="preserve">        4821 Rail transportation</t>
  </si>
  <si>
    <t xml:space="preserve">     484 Truck transportation</t>
  </si>
  <si>
    <t xml:space="preserve">        4841 General freight trucking</t>
  </si>
  <si>
    <t xml:space="preserve">        4842 Specialized freight trucking</t>
  </si>
  <si>
    <t xml:space="preserve">     485 Transit &amp; ground passenger transportation</t>
  </si>
  <si>
    <t xml:space="preserve">        4854 School &amp; employee bus transportation</t>
  </si>
  <si>
    <t xml:space="preserve">        4853 Taxi &amp; limousine service</t>
  </si>
  <si>
    <t xml:space="preserve">        4855 Charter bus industry</t>
  </si>
  <si>
    <t xml:space="preserve">     486 Pipeline transportation</t>
  </si>
  <si>
    <t xml:space="preserve">        4862 Pipeline transportation of natural gas</t>
  </si>
  <si>
    <t xml:space="preserve">     487 Scenic &amp; sightseeing transportation</t>
  </si>
  <si>
    <t xml:space="preserve">     488 Support activities for transportation</t>
  </si>
  <si>
    <t xml:space="preserve">        4881 Support activities for air transportation</t>
  </si>
  <si>
    <t xml:space="preserve">        4882 Support activities for rail transportation</t>
  </si>
  <si>
    <t xml:space="preserve">        4885 Freight transportation arrangement</t>
  </si>
  <si>
    <t xml:space="preserve">        4884 Support activities for road transportation</t>
  </si>
  <si>
    <t xml:space="preserve">     491 Postal service</t>
  </si>
  <si>
    <t xml:space="preserve">        4911 Postal service</t>
  </si>
  <si>
    <t xml:space="preserve">        4921 Couriers</t>
  </si>
  <si>
    <t xml:space="preserve">     511 Publishing industries, except Internet</t>
  </si>
  <si>
    <t xml:space="preserve">        5111 Newspaper, book &amp; directory publishers</t>
  </si>
  <si>
    <t xml:space="preserve">        5112 Software publishers</t>
  </si>
  <si>
    <t xml:space="preserve">     512 Motion picture &amp; sound recording industries</t>
  </si>
  <si>
    <t xml:space="preserve">        5122 Sound recording industries</t>
  </si>
  <si>
    <t xml:space="preserve">     515 Broadcasting, except Internet</t>
  </si>
  <si>
    <t xml:space="preserve">        5152 Cable &amp; other subscription programming</t>
  </si>
  <si>
    <t xml:space="preserve">        5151 Radio &amp; television broadcasting</t>
  </si>
  <si>
    <t xml:space="preserve">        5172 Wireless telecommunications carriers</t>
  </si>
  <si>
    <t xml:space="preserve">        5174 Satellite telecommunications</t>
  </si>
  <si>
    <t xml:space="preserve">        5182 Data processing &amp; related services</t>
  </si>
  <si>
    <t xml:space="preserve">     522 Credit intermediation &amp; related activities</t>
  </si>
  <si>
    <t xml:space="preserve">        5221 Depository credit intermediation</t>
  </si>
  <si>
    <t xml:space="preserve">        5222 Nondepository credit intermediation</t>
  </si>
  <si>
    <t xml:space="preserve">        5223 Activities related to credit intermediation</t>
  </si>
  <si>
    <t xml:space="preserve">     523 Securities, commodity contracts, investments</t>
  </si>
  <si>
    <t xml:space="preserve">     524 Insurance carriers &amp;  related activities</t>
  </si>
  <si>
    <t xml:space="preserve">     525 Funds, trusts &amp; other financial vehicles</t>
  </si>
  <si>
    <t xml:space="preserve">     531 Real estate</t>
  </si>
  <si>
    <t xml:space="preserve">        5311 Lessors of real estate</t>
  </si>
  <si>
    <t xml:space="preserve">        5312 Offices of real estate agents &amp; brokers</t>
  </si>
  <si>
    <t xml:space="preserve">        5313 Activities related to real estate</t>
  </si>
  <si>
    <t xml:space="preserve">     532 Rental &amp; leasing services</t>
  </si>
  <si>
    <t xml:space="preserve">        5321 Automotive equipment rental &amp; leasing</t>
  </si>
  <si>
    <t xml:space="preserve">        5322 Consumer goods rental</t>
  </si>
  <si>
    <t xml:space="preserve">        5323 General rental centers</t>
  </si>
  <si>
    <t xml:space="preserve">        5324 Machinery &amp; equipment rental &amp; leasing</t>
  </si>
  <si>
    <t xml:space="preserve">     533 Lessors of nonfinancial intangible assets</t>
  </si>
  <si>
    <t xml:space="preserve">        5331 Lessors of nonfinancial intangible assets</t>
  </si>
  <si>
    <t xml:space="preserve">     541 Professional &amp; technical services</t>
  </si>
  <si>
    <t xml:space="preserve">        5411 Legal services</t>
  </si>
  <si>
    <t xml:space="preserve">        5412 Accounting &amp; bookkeeping services</t>
  </si>
  <si>
    <t xml:space="preserve">        5413 Architectural &amp; engineering services</t>
  </si>
  <si>
    <t xml:space="preserve">        5414 Specialized design services</t>
  </si>
  <si>
    <t xml:space="preserve">        5415 Computer systems design &amp; related services</t>
  </si>
  <si>
    <t xml:space="preserve">        5416 Management &amp; technical consulting services</t>
  </si>
  <si>
    <t xml:space="preserve">        5417 Scientific research &amp; development services</t>
  </si>
  <si>
    <t xml:space="preserve">        5418 Advertising &amp; related services</t>
  </si>
  <si>
    <t xml:space="preserve">        5419 Other professional &amp; technical services</t>
  </si>
  <si>
    <t xml:space="preserve">     551 Management of companies &amp; enterprises</t>
  </si>
  <si>
    <t xml:space="preserve">        5511 Management of companies &amp; enterprises</t>
  </si>
  <si>
    <t xml:space="preserve">     561 Administrative &amp; support services</t>
  </si>
  <si>
    <t xml:space="preserve">        5611 Office administrative services</t>
  </si>
  <si>
    <t xml:space="preserve">        5612 Facilities support services</t>
  </si>
  <si>
    <t xml:space="preserve">        5613 Employment services</t>
  </si>
  <si>
    <t xml:space="preserve">        5614 Business support services</t>
  </si>
  <si>
    <t xml:space="preserve">        5615 Travel arrangement &amp; reservation services</t>
  </si>
  <si>
    <t xml:space="preserve">        5616 Investigation &amp; security services</t>
  </si>
  <si>
    <t xml:space="preserve">        5617 Services to buildings &amp; dwellings</t>
  </si>
  <si>
    <t xml:space="preserve">        5619 Other support services</t>
  </si>
  <si>
    <t xml:space="preserve">        5621 Waste collection</t>
  </si>
  <si>
    <t xml:space="preserve">        5622 Waste treatment &amp; disposal</t>
  </si>
  <si>
    <t xml:space="preserve">        5629 Remediation &amp; other waste services</t>
  </si>
  <si>
    <t xml:space="preserve">     562 Waste management &amp; remediation services</t>
  </si>
  <si>
    <t xml:space="preserve">     611 Educational services</t>
  </si>
  <si>
    <t xml:space="preserve">        6111 Elementary &amp; secondary schools</t>
  </si>
  <si>
    <t xml:space="preserve">        6112 Junior colleges</t>
  </si>
  <si>
    <t xml:space="preserve">        6113 Colleges &amp; universities</t>
  </si>
  <si>
    <t xml:space="preserve">        6114 Business, computer &amp; management training</t>
  </si>
  <si>
    <t xml:space="preserve">        6115 Technical &amp; trade schools</t>
  </si>
  <si>
    <t xml:space="preserve">        6116 Other schools &amp; instruction</t>
  </si>
  <si>
    <t xml:space="preserve">        6117 Educational support services</t>
  </si>
  <si>
    <t xml:space="preserve">     621 Ambulatory health care services</t>
  </si>
  <si>
    <t xml:space="preserve">        6211 Offices of physicians</t>
  </si>
  <si>
    <t xml:space="preserve">        6212 Offices of dentists</t>
  </si>
  <si>
    <t xml:space="preserve">        6213 Offices of other health practitioners</t>
  </si>
  <si>
    <t xml:space="preserve">        6214 Outpatient care centers</t>
  </si>
  <si>
    <t xml:space="preserve">        6215 Medical &amp; diagnostic laboratories</t>
  </si>
  <si>
    <t xml:space="preserve">        6216 Home health care services</t>
  </si>
  <si>
    <t xml:space="preserve">        6219 Other ambulatory health care services</t>
  </si>
  <si>
    <t xml:space="preserve">     622 Hospitals</t>
  </si>
  <si>
    <t xml:space="preserve">        6221 General medical &amp; surgical hospitals</t>
  </si>
  <si>
    <t xml:space="preserve">        Other motor vehicle and transportation equipment manufacturing</t>
  </si>
  <si>
    <t xml:space="preserve">        Other pipeline transportation</t>
  </si>
  <si>
    <t>TRADE, TRANSPORTATION &amp; UTILITIES</t>
  </si>
  <si>
    <t>INFORMATION</t>
  </si>
  <si>
    <t>FINANCIAL ACTIVITIES</t>
  </si>
  <si>
    <t>EDUCATION &amp; HEALTH SVCS</t>
  </si>
  <si>
    <t>LEISURE &amp; HOSPITALITY</t>
  </si>
  <si>
    <t>OTHER SERVICES</t>
  </si>
  <si>
    <t>PUBLIC AMINISTRATION</t>
  </si>
  <si>
    <t>MANUFACTURING</t>
  </si>
  <si>
    <t>RETAIL TRADE</t>
  </si>
  <si>
    <t>TRANSPORTATION</t>
  </si>
  <si>
    <t>FINANCE</t>
  </si>
  <si>
    <t>REAL ESTATE &amp; RENTAL &amp; LEASING</t>
  </si>
  <si>
    <t>PROFESSIONAL, SCIENTIFIC &amp; TECHNICAL SERVICES</t>
  </si>
  <si>
    <t>EDUCATION SERVICES</t>
  </si>
  <si>
    <t>HEALTH CARE &amp; SOCIAL ASSISTANCE</t>
  </si>
  <si>
    <t>ARTS, ENTERTAINMENT &amp; RECREATION</t>
  </si>
  <si>
    <t>UTILITIES</t>
  </si>
  <si>
    <t>CONSTRUCTION</t>
  </si>
  <si>
    <t>WAREHOUSING</t>
  </si>
  <si>
    <t>ADMIN &amp; SUPPORT &amp; WASTE MGMT &amp; REMEDIATION SVCS</t>
  </si>
  <si>
    <t xml:space="preserve">        7221 Full service restaurants</t>
  </si>
  <si>
    <t xml:space="preserve">        7222 Limited service eating places</t>
  </si>
  <si>
    <t xml:space="preserve">        4851 Urban transit systems</t>
  </si>
  <si>
    <t xml:space="preserve">     561 Administrative &amp; support services </t>
  </si>
  <si>
    <t>AGRICULTURE</t>
  </si>
  <si>
    <t>ACCOMMODATION &amp; FOOD SERVICES</t>
  </si>
  <si>
    <t>22 UTILITIES</t>
  </si>
  <si>
    <t>23 CONSTRUCTION</t>
  </si>
  <si>
    <t>31-33 MANUFACTURING</t>
  </si>
  <si>
    <t>42 WHOLESALE TRADE</t>
  </si>
  <si>
    <t>44-45 RETAIL TRADE</t>
  </si>
  <si>
    <t>48-49 TRANSPORTATION &amp; WAREHOUSING</t>
  </si>
  <si>
    <t>51 INFORMATION</t>
  </si>
  <si>
    <t>53 REAL ESTATE AND RENTAL AND LEASING</t>
  </si>
  <si>
    <t>54 PROFESSIONAL AND TECHNICAL SERVICES</t>
  </si>
  <si>
    <t>55 MANAGEMENT OF COMPANIES AND ENTERPRISES</t>
  </si>
  <si>
    <t>56 ADMINISTRATIVE AND WASTE SERVICES</t>
  </si>
  <si>
    <t>61 EDUCATIONAL SERVICES</t>
  </si>
  <si>
    <t>62 HEALTH CARE AND SOCIAL ASSISTANCE</t>
  </si>
  <si>
    <t>71 ARTS, ENTERAINMENT AND RECREATION</t>
  </si>
  <si>
    <t>72 ACCOMMODATION AND FOOD SERVICES</t>
  </si>
  <si>
    <t>81 OTHER SERVICES</t>
  </si>
  <si>
    <t>PRIVATE SECTOR</t>
  </si>
  <si>
    <t xml:space="preserve">        2111 Oil &amp; gas extraction</t>
  </si>
  <si>
    <t xml:space="preserve">        4511 Sporting goods &amp; musical instrument stores</t>
  </si>
  <si>
    <t xml:space="preserve">        4241 Paper &amp; paper product merchant wholesalers</t>
  </si>
  <si>
    <t xml:space="preserve">        4871 Scenic &amp; sightseeing transportation, land</t>
  </si>
  <si>
    <t xml:space="preserve">        2372 Land subdivision</t>
  </si>
  <si>
    <t>21  MINING</t>
  </si>
  <si>
    <t xml:space="preserve">         4531 Florists</t>
  </si>
  <si>
    <t xml:space="preserve">        4922 Local messengers &amp; local delivery</t>
  </si>
  <si>
    <t xml:space="preserve">        4931 Warehousing &amp; storage</t>
  </si>
  <si>
    <t xml:space="preserve">         5241 Insurance carriers</t>
  </si>
  <si>
    <t xml:space="preserve">         5242 Insurance agencies, brokerages &amp; related</t>
  </si>
  <si>
    <t xml:space="preserve">         5251 Insurance &amp; employee benefit funds</t>
  </si>
  <si>
    <t xml:space="preserve">        7121 Museums, historical sites, zoos &amp; parks</t>
  </si>
  <si>
    <t xml:space="preserve">     113 Forestry and logging</t>
  </si>
  <si>
    <t xml:space="preserve">        1133 Logging</t>
  </si>
  <si>
    <t xml:space="preserve">        5121 Motion picture &amp; video industries</t>
  </si>
  <si>
    <t xml:space="preserve">        Other food manufacturing</t>
  </si>
  <si>
    <t xml:space="preserve">        Other support activities for transportation</t>
  </si>
  <si>
    <t xml:space="preserve">     521 Credit </t>
  </si>
  <si>
    <t xml:space="preserve">     Other Services</t>
  </si>
  <si>
    <t>FINANCIAL, INSURANCE ACTIVITIES &amp; REAL ESTATE</t>
  </si>
  <si>
    <t xml:space="preserve">     481 Air Transportation</t>
  </si>
  <si>
    <t xml:space="preserve">        4852 Interurban and rural bus transportation</t>
  </si>
  <si>
    <t xml:space="preserve">        Other Primary metal manufacturing</t>
  </si>
  <si>
    <t xml:space="preserve">        9271 Space Research and Technology</t>
  </si>
  <si>
    <t xml:space="preserve">     519 Internet Publishing, Broadcasting and Other information services</t>
  </si>
  <si>
    <t xml:space="preserve">        5259 Other investment pools and funds</t>
  </si>
  <si>
    <t xml:space="preserve">        5179 Telecommunication resellers &amp; other telecommunications</t>
  </si>
  <si>
    <t xml:space="preserve">        5171 Wired telecomm carriers incl cable &amp; other program distribution</t>
  </si>
  <si>
    <t xml:space="preserve">     517 Telecommunications </t>
  </si>
  <si>
    <t xml:space="preserve">     518 Data Processing, Hosting and Related Services</t>
  </si>
  <si>
    <t xml:space="preserve">        5191  Internet Publishing, Broadcasting, incl ISP's, Web search portals &amp;</t>
  </si>
  <si>
    <t xml:space="preserve">                 Other information services</t>
  </si>
  <si>
    <t xml:space="preserve">     523 Securities, commodity contracts, &amp; other financial investments</t>
  </si>
  <si>
    <t xml:space="preserve">        5231 Securities &amp; commodity contracts intermediation &amp; brokerages</t>
  </si>
  <si>
    <t>52 FINANCE AND INSURANCE</t>
  </si>
  <si>
    <t xml:space="preserve">        6117 Education Support Services</t>
  </si>
  <si>
    <t xml:space="preserve">        3151 Apparel knitting mills</t>
  </si>
  <si>
    <t xml:space="preserve">        3159 Other apparel manufacturing</t>
  </si>
  <si>
    <t xml:space="preserve">        Other fabricated metal product mfg.</t>
  </si>
  <si>
    <t xml:space="preserve">        Other electrical equipment and component manufacturing</t>
  </si>
  <si>
    <t xml:space="preserve">        Other transit and ground passenger transportation</t>
  </si>
  <si>
    <t xml:space="preserve">        4879 Other Scenic &amp; sightseeing transportation, other</t>
  </si>
  <si>
    <t xml:space="preserve">        Other financial investment activities</t>
  </si>
  <si>
    <t xml:space="preserve">        Other amusement and recreation industries</t>
  </si>
  <si>
    <t>WHOLESALE TRADE</t>
  </si>
  <si>
    <t xml:space="preserve">        7211 Traveler Accommodation</t>
  </si>
  <si>
    <t xml:space="preserve">        7212 RV Parks and Recreational Camps</t>
  </si>
  <si>
    <r>
      <t xml:space="preserve">Source:  Utah Department of Workforce Services, Workforce Research &amp; Analysis, </t>
    </r>
    <r>
      <rPr>
        <i/>
        <sz val="8"/>
        <rFont val="Arial"/>
        <family val="2"/>
      </rPr>
      <t>Annual Report of Labor Market Information, 2010.</t>
    </r>
  </si>
  <si>
    <t>PUBLIC ADMINISTRATION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</si>
</sst>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9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sz val="12"/>
      <name val="Arial"/>
      <family val="2"/>
    </font>
    <font>
      <sz val="9"/>
      <name val="Arial"/>
      <family val="2"/>
    </font>
    <font>
      <sz val="8"/>
      <name val="Arial"/>
      <family val="2"/>
    </font>
    <font>
      <i/>
      <sz val="8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double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5" fillId="0" borderId="0">
      <alignment vertical="top"/>
    </xf>
  </cellStyleXfs>
  <cellXfs count="22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/>
    <xf numFmtId="0" fontId="2" fillId="0" borderId="0" xfId="0" applyFont="1" applyAlignment="1">
      <alignment horizontal="right"/>
    </xf>
    <xf numFmtId="3" fontId="0" fillId="0" borderId="0" xfId="0" applyNumberFormat="1"/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0" xfId="0" applyFont="1"/>
    <xf numFmtId="0" fontId="0" fillId="0" borderId="0" xfId="0" applyFill="1"/>
    <xf numFmtId="3" fontId="0" fillId="0" borderId="0" xfId="0" applyNumberFormat="1" applyAlignment="1">
      <alignment horizontal="center"/>
    </xf>
    <xf numFmtId="3" fontId="2" fillId="0" borderId="0" xfId="0" applyNumberFormat="1" applyFont="1" applyAlignment="1">
      <alignment horizontal="right"/>
    </xf>
    <xf numFmtId="3" fontId="0" fillId="0" borderId="0" xfId="0" applyNumberFormat="1" applyAlignment="1">
      <alignment horizontal="right"/>
    </xf>
    <xf numFmtId="3" fontId="3" fillId="0" borderId="0" xfId="0" applyNumberFormat="1" applyFont="1" applyAlignment="1">
      <alignment horizontal="right"/>
    </xf>
    <xf numFmtId="37" fontId="0" fillId="0" borderId="0" xfId="1" applyNumberFormat="1" applyFont="1" applyAlignment="1">
      <alignment horizontal="right"/>
    </xf>
    <xf numFmtId="3" fontId="0" fillId="0" borderId="0" xfId="0" applyNumberFormat="1" applyFill="1" applyAlignment="1">
      <alignment horizontal="right"/>
    </xf>
    <xf numFmtId="0" fontId="6" fillId="0" borderId="0" xfId="0" applyFont="1"/>
    <xf numFmtId="3" fontId="6" fillId="0" borderId="0" xfId="0" applyNumberFormat="1" applyFont="1"/>
    <xf numFmtId="3" fontId="7" fillId="0" borderId="0" xfId="2" applyNumberFormat="1" applyFont="1" applyAlignment="1"/>
    <xf numFmtId="0" fontId="0" fillId="0" borderId="1" xfId="0" applyBorder="1" applyAlignment="1">
      <alignment horizontal="right"/>
    </xf>
    <xf numFmtId="0" fontId="2" fillId="0" borderId="1" xfId="0" applyFont="1" applyBorder="1"/>
    <xf numFmtId="3" fontId="2" fillId="0" borderId="1" xfId="0" applyNumberFormat="1" applyFont="1" applyBorder="1" applyAlignment="1">
      <alignment horizontal="right"/>
    </xf>
    <xf numFmtId="0" fontId="0" fillId="0" borderId="1" xfId="0" applyBorder="1"/>
  </cellXfs>
  <cellStyles count="3">
    <cellStyle name="Comma" xfId="1" builtinId="3"/>
    <cellStyle name="Normal" xfId="0" builtinId="0"/>
    <cellStyle name="Normal_TABLE 27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2209801</xdr:colOff>
      <xdr:row>0</xdr:row>
      <xdr:rowOff>66676</xdr:rowOff>
    </xdr:from>
    <xdr:to>
      <xdr:col>4</xdr:col>
      <xdr:colOff>561975</xdr:colOff>
      <xdr:row>3</xdr:row>
      <xdr:rowOff>19051</xdr:rowOff>
    </xdr:to>
    <xdr:sp macro="" textlink="">
      <xdr:nvSpPr>
        <xdr:cNvPr id="2" name="TextBox 1"/>
        <xdr:cNvSpPr txBox="1"/>
      </xdr:nvSpPr>
      <xdr:spPr>
        <a:xfrm>
          <a:off x="2238376" y="66676"/>
          <a:ext cx="4581524" cy="438150"/>
        </a:xfrm>
        <a:prstGeom prst="rect">
          <a:avLst/>
        </a:prstGeom>
        <a:solidFill>
          <a:schemeClr val="lt1"/>
        </a:solidFill>
        <a:ln w="31750" cmpd="sng"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000" b="1">
              <a:latin typeface="Arial" pitchFamily="34" charset="0"/>
              <a:cs typeface="Arial" pitchFamily="34" charset="0"/>
            </a:rPr>
            <a:t>TABLE</a:t>
          </a:r>
          <a:r>
            <a:rPr lang="en-US" sz="1000" b="1" baseline="0">
              <a:latin typeface="Arial" pitchFamily="34" charset="0"/>
              <a:cs typeface="Arial" pitchFamily="34" charset="0"/>
            </a:rPr>
            <a:t> 5. UTAH NONAGRICULTURAL PAYROLL EMPLOYMENT, WAGES AND ESTABLISHMENTS BY NAICS SECTOR, 2010</a:t>
          </a:r>
          <a:endParaRPr lang="en-US" sz="100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</xdr:col>
      <xdr:colOff>2209801</xdr:colOff>
      <xdr:row>43</xdr:row>
      <xdr:rowOff>66676</xdr:rowOff>
    </xdr:from>
    <xdr:to>
      <xdr:col>4</xdr:col>
      <xdr:colOff>561975</xdr:colOff>
      <xdr:row>46</xdr:row>
      <xdr:rowOff>19051</xdr:rowOff>
    </xdr:to>
    <xdr:sp macro="" textlink="">
      <xdr:nvSpPr>
        <xdr:cNvPr id="3" name="TextBox 2"/>
        <xdr:cNvSpPr txBox="1"/>
      </xdr:nvSpPr>
      <xdr:spPr>
        <a:xfrm>
          <a:off x="2238376" y="66676"/>
          <a:ext cx="4905374" cy="438150"/>
        </a:xfrm>
        <a:prstGeom prst="rect">
          <a:avLst/>
        </a:prstGeom>
        <a:solidFill>
          <a:schemeClr val="lt1"/>
        </a:solidFill>
        <a:ln w="31750" cmpd="sng"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000" b="1">
              <a:latin typeface="Arial" pitchFamily="34" charset="0"/>
              <a:cs typeface="Arial" pitchFamily="34" charset="0"/>
            </a:rPr>
            <a:t>TABLE</a:t>
          </a:r>
          <a:r>
            <a:rPr lang="en-US" sz="1000" b="1" baseline="0">
              <a:latin typeface="Arial" pitchFamily="34" charset="0"/>
              <a:cs typeface="Arial" pitchFamily="34" charset="0"/>
            </a:rPr>
            <a:t> 5. UTAH NONAGRICULTURAL PAYROLL EMPLOYMENT, WAGES AND ESTABLISHMENTS BY NAICS SECTOR, 2010 (continued)</a:t>
          </a:r>
          <a:endParaRPr lang="en-US" sz="100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</xdr:col>
      <xdr:colOff>2209801</xdr:colOff>
      <xdr:row>129</xdr:row>
      <xdr:rowOff>66676</xdr:rowOff>
    </xdr:from>
    <xdr:to>
      <xdr:col>4</xdr:col>
      <xdr:colOff>561975</xdr:colOff>
      <xdr:row>132</xdr:row>
      <xdr:rowOff>19051</xdr:rowOff>
    </xdr:to>
    <xdr:sp macro="" textlink="">
      <xdr:nvSpPr>
        <xdr:cNvPr id="5" name="TextBox 4"/>
        <xdr:cNvSpPr txBox="1"/>
      </xdr:nvSpPr>
      <xdr:spPr>
        <a:xfrm>
          <a:off x="2238376" y="7029451"/>
          <a:ext cx="4905374" cy="438150"/>
        </a:xfrm>
        <a:prstGeom prst="rect">
          <a:avLst/>
        </a:prstGeom>
        <a:solidFill>
          <a:schemeClr val="lt1"/>
        </a:solidFill>
        <a:ln w="31750" cmpd="sng"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000" b="1">
              <a:latin typeface="Arial" pitchFamily="34" charset="0"/>
              <a:cs typeface="Arial" pitchFamily="34" charset="0"/>
            </a:rPr>
            <a:t>TABLE</a:t>
          </a:r>
          <a:r>
            <a:rPr lang="en-US" sz="1000" b="1" baseline="0">
              <a:latin typeface="Arial" pitchFamily="34" charset="0"/>
              <a:cs typeface="Arial" pitchFamily="34" charset="0"/>
            </a:rPr>
            <a:t> 5. UTAH NONAGRICULTURAL PAYROLL EMPLOYMENT, WAGES AND ESTABLISHMENTS BY NAICS SECTOR, 2010 (continued)</a:t>
          </a:r>
          <a:endParaRPr lang="en-US" sz="100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</xdr:col>
      <xdr:colOff>2209801</xdr:colOff>
      <xdr:row>172</xdr:row>
      <xdr:rowOff>66676</xdr:rowOff>
    </xdr:from>
    <xdr:to>
      <xdr:col>4</xdr:col>
      <xdr:colOff>561975</xdr:colOff>
      <xdr:row>175</xdr:row>
      <xdr:rowOff>19051</xdr:rowOff>
    </xdr:to>
    <xdr:sp macro="" textlink="">
      <xdr:nvSpPr>
        <xdr:cNvPr id="6" name="TextBox 5"/>
        <xdr:cNvSpPr txBox="1"/>
      </xdr:nvSpPr>
      <xdr:spPr>
        <a:xfrm>
          <a:off x="2238376" y="7029451"/>
          <a:ext cx="4905374" cy="438150"/>
        </a:xfrm>
        <a:prstGeom prst="rect">
          <a:avLst/>
        </a:prstGeom>
        <a:solidFill>
          <a:schemeClr val="lt1"/>
        </a:solidFill>
        <a:ln w="31750" cmpd="sng"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000" b="1">
              <a:latin typeface="Arial" pitchFamily="34" charset="0"/>
              <a:cs typeface="Arial" pitchFamily="34" charset="0"/>
            </a:rPr>
            <a:t>TABLE</a:t>
          </a:r>
          <a:r>
            <a:rPr lang="en-US" sz="1000" b="1" baseline="0">
              <a:latin typeface="Arial" pitchFamily="34" charset="0"/>
              <a:cs typeface="Arial" pitchFamily="34" charset="0"/>
            </a:rPr>
            <a:t> 5. UTAH NONAGRICULTURAL PAYROLL EMPLOYMENT, WAGES AND ESTABLISHMENTS BY NAICS SECTOR, 2010 (continued)</a:t>
          </a:r>
          <a:endParaRPr lang="en-US" sz="100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</xdr:col>
      <xdr:colOff>2209801</xdr:colOff>
      <xdr:row>215</xdr:row>
      <xdr:rowOff>66676</xdr:rowOff>
    </xdr:from>
    <xdr:to>
      <xdr:col>4</xdr:col>
      <xdr:colOff>561975</xdr:colOff>
      <xdr:row>218</xdr:row>
      <xdr:rowOff>19051</xdr:rowOff>
    </xdr:to>
    <xdr:sp macro="" textlink="">
      <xdr:nvSpPr>
        <xdr:cNvPr id="7" name="TextBox 6"/>
        <xdr:cNvSpPr txBox="1"/>
      </xdr:nvSpPr>
      <xdr:spPr>
        <a:xfrm>
          <a:off x="2238376" y="7029451"/>
          <a:ext cx="4905374" cy="438150"/>
        </a:xfrm>
        <a:prstGeom prst="rect">
          <a:avLst/>
        </a:prstGeom>
        <a:solidFill>
          <a:schemeClr val="lt1"/>
        </a:solidFill>
        <a:ln w="31750" cmpd="sng"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000" b="1">
              <a:latin typeface="Arial" pitchFamily="34" charset="0"/>
              <a:cs typeface="Arial" pitchFamily="34" charset="0"/>
            </a:rPr>
            <a:t>TABLE</a:t>
          </a:r>
          <a:r>
            <a:rPr lang="en-US" sz="1000" b="1" baseline="0">
              <a:latin typeface="Arial" pitchFamily="34" charset="0"/>
              <a:cs typeface="Arial" pitchFamily="34" charset="0"/>
            </a:rPr>
            <a:t> 5. UTAH NONAGRICULTURAL PAYROLL EMPLOYMENT, WAGES AND ESTABLISHMENTS BY NAICS SECTOR, 2010 (continued)</a:t>
          </a:r>
          <a:endParaRPr lang="en-US" sz="100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</xdr:col>
      <xdr:colOff>2209801</xdr:colOff>
      <xdr:row>258</xdr:row>
      <xdr:rowOff>66676</xdr:rowOff>
    </xdr:from>
    <xdr:to>
      <xdr:col>4</xdr:col>
      <xdr:colOff>561975</xdr:colOff>
      <xdr:row>261</xdr:row>
      <xdr:rowOff>19051</xdr:rowOff>
    </xdr:to>
    <xdr:sp macro="" textlink="">
      <xdr:nvSpPr>
        <xdr:cNvPr id="8" name="TextBox 7"/>
        <xdr:cNvSpPr txBox="1"/>
      </xdr:nvSpPr>
      <xdr:spPr>
        <a:xfrm>
          <a:off x="2238376" y="7029451"/>
          <a:ext cx="4905374" cy="438150"/>
        </a:xfrm>
        <a:prstGeom prst="rect">
          <a:avLst/>
        </a:prstGeom>
        <a:solidFill>
          <a:schemeClr val="lt1"/>
        </a:solidFill>
        <a:ln w="31750" cmpd="sng"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000" b="1">
              <a:latin typeface="Arial" pitchFamily="34" charset="0"/>
              <a:cs typeface="Arial" pitchFamily="34" charset="0"/>
            </a:rPr>
            <a:t>TABLE</a:t>
          </a:r>
          <a:r>
            <a:rPr lang="en-US" sz="1000" b="1" baseline="0">
              <a:latin typeface="Arial" pitchFamily="34" charset="0"/>
              <a:cs typeface="Arial" pitchFamily="34" charset="0"/>
            </a:rPr>
            <a:t> 5. UTAH NONAGRICULTURAL PAYROLL EMPLOYMENT, WAGES AND ESTABLISHMENTS BY NAICS SECTOR, 2010 (continued)</a:t>
          </a:r>
          <a:endParaRPr lang="en-US" sz="100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</xdr:col>
      <xdr:colOff>2209801</xdr:colOff>
      <xdr:row>301</xdr:row>
      <xdr:rowOff>66676</xdr:rowOff>
    </xdr:from>
    <xdr:to>
      <xdr:col>4</xdr:col>
      <xdr:colOff>561975</xdr:colOff>
      <xdr:row>304</xdr:row>
      <xdr:rowOff>19051</xdr:rowOff>
    </xdr:to>
    <xdr:sp macro="" textlink="">
      <xdr:nvSpPr>
        <xdr:cNvPr id="9" name="TextBox 8"/>
        <xdr:cNvSpPr txBox="1"/>
      </xdr:nvSpPr>
      <xdr:spPr>
        <a:xfrm>
          <a:off x="2238376" y="7029451"/>
          <a:ext cx="4905374" cy="438150"/>
        </a:xfrm>
        <a:prstGeom prst="rect">
          <a:avLst/>
        </a:prstGeom>
        <a:solidFill>
          <a:schemeClr val="lt1"/>
        </a:solidFill>
        <a:ln w="31750" cmpd="sng"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000" b="1">
              <a:latin typeface="Arial" pitchFamily="34" charset="0"/>
              <a:cs typeface="Arial" pitchFamily="34" charset="0"/>
            </a:rPr>
            <a:t>TABLE</a:t>
          </a:r>
          <a:r>
            <a:rPr lang="en-US" sz="1000" b="1" baseline="0">
              <a:latin typeface="Arial" pitchFamily="34" charset="0"/>
              <a:cs typeface="Arial" pitchFamily="34" charset="0"/>
            </a:rPr>
            <a:t> 5. UTAH NONAGRICULTURAL PAYROLL EMPLOYMENT, WAGES AND ESTABLISHMENTS BY NAICS SECTOR, 2010 (continued)</a:t>
          </a:r>
          <a:endParaRPr lang="en-US" sz="100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</xdr:col>
      <xdr:colOff>2209801</xdr:colOff>
      <xdr:row>345</xdr:row>
      <xdr:rowOff>66676</xdr:rowOff>
    </xdr:from>
    <xdr:to>
      <xdr:col>4</xdr:col>
      <xdr:colOff>561975</xdr:colOff>
      <xdr:row>348</xdr:row>
      <xdr:rowOff>19051</xdr:rowOff>
    </xdr:to>
    <xdr:sp macro="" textlink="">
      <xdr:nvSpPr>
        <xdr:cNvPr id="10" name="TextBox 9"/>
        <xdr:cNvSpPr txBox="1"/>
      </xdr:nvSpPr>
      <xdr:spPr>
        <a:xfrm>
          <a:off x="2238376" y="7029451"/>
          <a:ext cx="4905374" cy="438150"/>
        </a:xfrm>
        <a:prstGeom prst="rect">
          <a:avLst/>
        </a:prstGeom>
        <a:solidFill>
          <a:schemeClr val="lt1"/>
        </a:solidFill>
        <a:ln w="31750" cmpd="sng"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000" b="1">
              <a:latin typeface="Arial" pitchFamily="34" charset="0"/>
              <a:cs typeface="Arial" pitchFamily="34" charset="0"/>
            </a:rPr>
            <a:t>TABLE</a:t>
          </a:r>
          <a:r>
            <a:rPr lang="en-US" sz="1000" b="1" baseline="0">
              <a:latin typeface="Arial" pitchFamily="34" charset="0"/>
              <a:cs typeface="Arial" pitchFamily="34" charset="0"/>
            </a:rPr>
            <a:t> 5. UTAH NONAGRICULTURAL PAYROLL EMPLOYMENT, WAGES AND ESTABLISHMENTS BY NAICS SECTOR, 2010 (continued)</a:t>
          </a:r>
          <a:endParaRPr lang="en-US" sz="100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</xdr:col>
      <xdr:colOff>2209801</xdr:colOff>
      <xdr:row>387</xdr:row>
      <xdr:rowOff>66676</xdr:rowOff>
    </xdr:from>
    <xdr:to>
      <xdr:col>4</xdr:col>
      <xdr:colOff>561975</xdr:colOff>
      <xdr:row>390</xdr:row>
      <xdr:rowOff>19051</xdr:rowOff>
    </xdr:to>
    <xdr:sp macro="" textlink="">
      <xdr:nvSpPr>
        <xdr:cNvPr id="11" name="TextBox 10"/>
        <xdr:cNvSpPr txBox="1"/>
      </xdr:nvSpPr>
      <xdr:spPr>
        <a:xfrm>
          <a:off x="2238376" y="7029451"/>
          <a:ext cx="4905374" cy="438150"/>
        </a:xfrm>
        <a:prstGeom prst="rect">
          <a:avLst/>
        </a:prstGeom>
        <a:solidFill>
          <a:schemeClr val="lt1"/>
        </a:solidFill>
        <a:ln w="31750" cmpd="sng"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000" b="1">
              <a:latin typeface="Arial" pitchFamily="34" charset="0"/>
              <a:cs typeface="Arial" pitchFamily="34" charset="0"/>
            </a:rPr>
            <a:t>TABLE</a:t>
          </a:r>
          <a:r>
            <a:rPr lang="en-US" sz="1000" b="1" baseline="0">
              <a:latin typeface="Arial" pitchFamily="34" charset="0"/>
              <a:cs typeface="Arial" pitchFamily="34" charset="0"/>
            </a:rPr>
            <a:t> 5. UTAH NONAGRICULTURAL PAYROLL EMPLOYMENT, WAGES AND ESTABLISHMENTS BY NAICS SECTOR, 2010 (continued)</a:t>
          </a:r>
          <a:endParaRPr lang="en-US" sz="100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</xdr:col>
      <xdr:colOff>2209801</xdr:colOff>
      <xdr:row>430</xdr:row>
      <xdr:rowOff>66676</xdr:rowOff>
    </xdr:from>
    <xdr:to>
      <xdr:col>4</xdr:col>
      <xdr:colOff>561975</xdr:colOff>
      <xdr:row>433</xdr:row>
      <xdr:rowOff>19051</xdr:rowOff>
    </xdr:to>
    <xdr:sp macro="" textlink="">
      <xdr:nvSpPr>
        <xdr:cNvPr id="12" name="TextBox 11"/>
        <xdr:cNvSpPr txBox="1"/>
      </xdr:nvSpPr>
      <xdr:spPr>
        <a:xfrm>
          <a:off x="2238376" y="7029451"/>
          <a:ext cx="4905374" cy="438150"/>
        </a:xfrm>
        <a:prstGeom prst="rect">
          <a:avLst/>
        </a:prstGeom>
        <a:solidFill>
          <a:schemeClr val="lt1"/>
        </a:solidFill>
        <a:ln w="31750" cmpd="sng"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000" b="1">
              <a:latin typeface="Arial" pitchFamily="34" charset="0"/>
              <a:cs typeface="Arial" pitchFamily="34" charset="0"/>
            </a:rPr>
            <a:t>TABLE</a:t>
          </a:r>
          <a:r>
            <a:rPr lang="en-US" sz="1000" b="1" baseline="0">
              <a:latin typeface="Arial" pitchFamily="34" charset="0"/>
              <a:cs typeface="Arial" pitchFamily="34" charset="0"/>
            </a:rPr>
            <a:t> 5. UTAH NONAGRICULTURAL PAYROLL EMPLOYMENT, WAGES AND ESTABLISHMENTS BY NAICS SECTOR, 2010 (continued)</a:t>
          </a:r>
          <a:endParaRPr lang="en-US" sz="100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</xdr:col>
      <xdr:colOff>2209801</xdr:colOff>
      <xdr:row>473</xdr:row>
      <xdr:rowOff>66676</xdr:rowOff>
    </xdr:from>
    <xdr:to>
      <xdr:col>4</xdr:col>
      <xdr:colOff>561975</xdr:colOff>
      <xdr:row>476</xdr:row>
      <xdr:rowOff>19051</xdr:rowOff>
    </xdr:to>
    <xdr:sp macro="" textlink="">
      <xdr:nvSpPr>
        <xdr:cNvPr id="13" name="TextBox 12"/>
        <xdr:cNvSpPr txBox="1"/>
      </xdr:nvSpPr>
      <xdr:spPr>
        <a:xfrm>
          <a:off x="2238376" y="7029451"/>
          <a:ext cx="4905374" cy="438150"/>
        </a:xfrm>
        <a:prstGeom prst="rect">
          <a:avLst/>
        </a:prstGeom>
        <a:solidFill>
          <a:schemeClr val="lt1"/>
        </a:solidFill>
        <a:ln w="31750" cmpd="sng"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000" b="1">
              <a:latin typeface="Arial" pitchFamily="34" charset="0"/>
              <a:cs typeface="Arial" pitchFamily="34" charset="0"/>
            </a:rPr>
            <a:t>TABLE</a:t>
          </a:r>
          <a:r>
            <a:rPr lang="en-US" sz="1000" b="1" baseline="0">
              <a:latin typeface="Arial" pitchFamily="34" charset="0"/>
              <a:cs typeface="Arial" pitchFamily="34" charset="0"/>
            </a:rPr>
            <a:t> 5. UTAH NONAGRICULTURAL PAYROLL EMPLOYMENT, WAGES AND ESTABLISHMENTS BY NAICS SECTOR, 2010 (continued)</a:t>
          </a:r>
          <a:endParaRPr lang="en-US" sz="100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</xdr:col>
      <xdr:colOff>2209801</xdr:colOff>
      <xdr:row>516</xdr:row>
      <xdr:rowOff>66676</xdr:rowOff>
    </xdr:from>
    <xdr:to>
      <xdr:col>4</xdr:col>
      <xdr:colOff>561975</xdr:colOff>
      <xdr:row>519</xdr:row>
      <xdr:rowOff>19051</xdr:rowOff>
    </xdr:to>
    <xdr:sp macro="" textlink="">
      <xdr:nvSpPr>
        <xdr:cNvPr id="14" name="TextBox 13"/>
        <xdr:cNvSpPr txBox="1"/>
      </xdr:nvSpPr>
      <xdr:spPr>
        <a:xfrm>
          <a:off x="2238376" y="7029451"/>
          <a:ext cx="4905374" cy="438150"/>
        </a:xfrm>
        <a:prstGeom prst="rect">
          <a:avLst/>
        </a:prstGeom>
        <a:solidFill>
          <a:schemeClr val="lt1"/>
        </a:solidFill>
        <a:ln w="31750" cmpd="sng"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000" b="1">
              <a:latin typeface="Arial" pitchFamily="34" charset="0"/>
              <a:cs typeface="Arial" pitchFamily="34" charset="0"/>
            </a:rPr>
            <a:t>TABLE</a:t>
          </a:r>
          <a:r>
            <a:rPr lang="en-US" sz="1000" b="1" baseline="0">
              <a:latin typeface="Arial" pitchFamily="34" charset="0"/>
              <a:cs typeface="Arial" pitchFamily="34" charset="0"/>
            </a:rPr>
            <a:t> 5. UTAH NONAGRICULTURAL PAYROLL EMPLOYMENT, WAGES AND ESTABLISHMENTS BY NAICS SECTOR, 2010 (continued)</a:t>
          </a:r>
          <a:endParaRPr lang="en-US" sz="100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</xdr:col>
      <xdr:colOff>2209801</xdr:colOff>
      <xdr:row>559</xdr:row>
      <xdr:rowOff>66676</xdr:rowOff>
    </xdr:from>
    <xdr:to>
      <xdr:col>4</xdr:col>
      <xdr:colOff>561975</xdr:colOff>
      <xdr:row>562</xdr:row>
      <xdr:rowOff>19051</xdr:rowOff>
    </xdr:to>
    <xdr:sp macro="" textlink="">
      <xdr:nvSpPr>
        <xdr:cNvPr id="15" name="TextBox 14"/>
        <xdr:cNvSpPr txBox="1"/>
      </xdr:nvSpPr>
      <xdr:spPr>
        <a:xfrm>
          <a:off x="2238376" y="7029451"/>
          <a:ext cx="4905374" cy="438150"/>
        </a:xfrm>
        <a:prstGeom prst="rect">
          <a:avLst/>
        </a:prstGeom>
        <a:solidFill>
          <a:schemeClr val="lt1"/>
        </a:solidFill>
        <a:ln w="31750" cmpd="sng"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000" b="1">
              <a:latin typeface="Arial" pitchFamily="34" charset="0"/>
              <a:cs typeface="Arial" pitchFamily="34" charset="0"/>
            </a:rPr>
            <a:t>TABLE</a:t>
          </a:r>
          <a:r>
            <a:rPr lang="en-US" sz="1000" b="1" baseline="0">
              <a:latin typeface="Arial" pitchFamily="34" charset="0"/>
              <a:cs typeface="Arial" pitchFamily="34" charset="0"/>
            </a:rPr>
            <a:t> 5. UTAH NONAGRICULTURAL PAYROLL EMPLOYMENT, WAGES AND ESTABLISHMENTS BY NAICS SECTOR, 2010 (continued)</a:t>
          </a:r>
          <a:endParaRPr lang="en-US" sz="100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</xdr:col>
      <xdr:colOff>2209801</xdr:colOff>
      <xdr:row>602</xdr:row>
      <xdr:rowOff>66676</xdr:rowOff>
    </xdr:from>
    <xdr:to>
      <xdr:col>4</xdr:col>
      <xdr:colOff>561975</xdr:colOff>
      <xdr:row>605</xdr:row>
      <xdr:rowOff>19051</xdr:rowOff>
    </xdr:to>
    <xdr:sp macro="" textlink="">
      <xdr:nvSpPr>
        <xdr:cNvPr id="16" name="TextBox 15"/>
        <xdr:cNvSpPr txBox="1"/>
      </xdr:nvSpPr>
      <xdr:spPr>
        <a:xfrm>
          <a:off x="2238376" y="7029451"/>
          <a:ext cx="4905374" cy="438150"/>
        </a:xfrm>
        <a:prstGeom prst="rect">
          <a:avLst/>
        </a:prstGeom>
        <a:solidFill>
          <a:schemeClr val="lt1"/>
        </a:solidFill>
        <a:ln w="31750" cmpd="sng"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000" b="1">
              <a:latin typeface="Arial" pitchFamily="34" charset="0"/>
              <a:cs typeface="Arial" pitchFamily="34" charset="0"/>
            </a:rPr>
            <a:t>TABLE</a:t>
          </a:r>
          <a:r>
            <a:rPr lang="en-US" sz="1000" b="1" baseline="0">
              <a:latin typeface="Arial" pitchFamily="34" charset="0"/>
              <a:cs typeface="Arial" pitchFamily="34" charset="0"/>
            </a:rPr>
            <a:t> 5. UTAH NONAGRICULTURAL PAYROLL EMPLOYMENT, WAGES AND ESTABLISHMENTS BY NAICS SECTOR, 2010 (continued)</a:t>
          </a:r>
          <a:endParaRPr lang="en-US" sz="100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</xdr:col>
      <xdr:colOff>2209801</xdr:colOff>
      <xdr:row>645</xdr:row>
      <xdr:rowOff>66676</xdr:rowOff>
    </xdr:from>
    <xdr:to>
      <xdr:col>4</xdr:col>
      <xdr:colOff>561975</xdr:colOff>
      <xdr:row>648</xdr:row>
      <xdr:rowOff>19051</xdr:rowOff>
    </xdr:to>
    <xdr:sp macro="" textlink="">
      <xdr:nvSpPr>
        <xdr:cNvPr id="17" name="TextBox 16"/>
        <xdr:cNvSpPr txBox="1"/>
      </xdr:nvSpPr>
      <xdr:spPr>
        <a:xfrm>
          <a:off x="2238376" y="7029451"/>
          <a:ext cx="4905374" cy="438150"/>
        </a:xfrm>
        <a:prstGeom prst="rect">
          <a:avLst/>
        </a:prstGeom>
        <a:solidFill>
          <a:schemeClr val="lt1"/>
        </a:solidFill>
        <a:ln w="31750" cmpd="sng"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000" b="1">
              <a:latin typeface="Arial" pitchFamily="34" charset="0"/>
              <a:cs typeface="Arial" pitchFamily="34" charset="0"/>
            </a:rPr>
            <a:t>TABLE</a:t>
          </a:r>
          <a:r>
            <a:rPr lang="en-US" sz="1000" b="1" baseline="0">
              <a:latin typeface="Arial" pitchFamily="34" charset="0"/>
              <a:cs typeface="Arial" pitchFamily="34" charset="0"/>
            </a:rPr>
            <a:t> 5. UTAH NONAGRICULTURAL PAYROLL EMPLOYMENT, WAGES AND ESTABLISHMENTS BY NAICS SECTOR, 2010 (continued)</a:t>
          </a:r>
          <a:endParaRPr lang="en-US" sz="100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</xdr:col>
      <xdr:colOff>2209801</xdr:colOff>
      <xdr:row>86</xdr:row>
      <xdr:rowOff>66676</xdr:rowOff>
    </xdr:from>
    <xdr:to>
      <xdr:col>4</xdr:col>
      <xdr:colOff>561975</xdr:colOff>
      <xdr:row>89</xdr:row>
      <xdr:rowOff>19051</xdr:rowOff>
    </xdr:to>
    <xdr:sp macro="" textlink="">
      <xdr:nvSpPr>
        <xdr:cNvPr id="18" name="TextBox 17"/>
        <xdr:cNvSpPr txBox="1"/>
      </xdr:nvSpPr>
      <xdr:spPr>
        <a:xfrm>
          <a:off x="2238376" y="15611476"/>
          <a:ext cx="4905374" cy="438150"/>
        </a:xfrm>
        <a:prstGeom prst="rect">
          <a:avLst/>
        </a:prstGeom>
        <a:solidFill>
          <a:schemeClr val="lt1"/>
        </a:solidFill>
        <a:ln w="31750" cmpd="sng"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000" b="1">
              <a:latin typeface="Arial" pitchFamily="34" charset="0"/>
              <a:cs typeface="Arial" pitchFamily="34" charset="0"/>
            </a:rPr>
            <a:t>TABLE</a:t>
          </a:r>
          <a:r>
            <a:rPr lang="en-US" sz="1000" b="1" baseline="0">
              <a:latin typeface="Arial" pitchFamily="34" charset="0"/>
              <a:cs typeface="Arial" pitchFamily="34" charset="0"/>
            </a:rPr>
            <a:t> 5. UTAH NONAGRICULTURAL PAYROLL EMPLOYMENT, WAGES AND ESTABLISHMENTS BY NAICS SECTOR, 2010 (continued)</a:t>
          </a:r>
          <a:endParaRPr lang="en-US" sz="1000" b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93"/>
  <sheetViews>
    <sheetView tabSelected="1" view="pageLayout" zoomScaleNormal="100" workbookViewId="0">
      <selection activeCell="B10" sqref="B10"/>
    </sheetView>
  </sheetViews>
  <sheetFormatPr defaultRowHeight="12.75" x14ac:dyDescent="0.2"/>
  <cols>
    <col min="1" max="1" width="0.42578125" style="1" customWidth="1"/>
    <col min="2" max="2" width="60" customWidth="1"/>
    <col min="3" max="3" width="12.140625" customWidth="1"/>
    <col min="4" max="4" width="21.28515625" bestFit="1" customWidth="1"/>
    <col min="5" max="5" width="9.28515625" bestFit="1" customWidth="1"/>
    <col min="6" max="6" width="14.140625" bestFit="1" customWidth="1"/>
    <col min="9" max="10" width="12.7109375" bestFit="1" customWidth="1"/>
  </cols>
  <sheetData>
    <row r="1" spans="1:6" x14ac:dyDescent="0.2">
      <c r="B1" s="2"/>
      <c r="C1" s="2"/>
      <c r="D1" s="2"/>
      <c r="E1" s="2"/>
      <c r="F1" s="2"/>
    </row>
    <row r="2" spans="1:6" x14ac:dyDescent="0.2">
      <c r="B2" s="2"/>
      <c r="C2" s="2"/>
      <c r="D2" s="2"/>
      <c r="E2" s="2"/>
      <c r="F2" s="2"/>
    </row>
    <row r="3" spans="1:6" x14ac:dyDescent="0.2">
      <c r="B3" s="2"/>
      <c r="C3" s="2"/>
      <c r="D3" s="2"/>
      <c r="E3" s="2"/>
      <c r="F3" s="2"/>
    </row>
    <row r="4" spans="1:6" x14ac:dyDescent="0.2">
      <c r="B4" s="2"/>
      <c r="C4" s="2"/>
      <c r="D4" s="2"/>
      <c r="E4" s="2"/>
      <c r="F4" s="2"/>
    </row>
    <row r="6" spans="1:6" x14ac:dyDescent="0.2">
      <c r="C6" s="3" t="s">
        <v>82</v>
      </c>
      <c r="D6" s="3"/>
      <c r="E6" s="3" t="s">
        <v>82</v>
      </c>
      <c r="F6" s="3"/>
    </row>
    <row r="7" spans="1:6" x14ac:dyDescent="0.2">
      <c r="C7" s="3" t="s">
        <v>83</v>
      </c>
      <c r="D7" s="3"/>
      <c r="E7" s="3" t="s">
        <v>85</v>
      </c>
      <c r="F7" s="3" t="s">
        <v>86</v>
      </c>
    </row>
    <row r="8" spans="1:6" x14ac:dyDescent="0.2">
      <c r="C8" s="3" t="s">
        <v>84</v>
      </c>
      <c r="D8" s="3" t="s">
        <v>88</v>
      </c>
      <c r="E8" s="3" t="s">
        <v>89</v>
      </c>
      <c r="F8" s="3" t="s">
        <v>87</v>
      </c>
    </row>
    <row r="9" spans="1:6" x14ac:dyDescent="0.2">
      <c r="C9" s="9"/>
      <c r="D9" s="9"/>
      <c r="E9" s="9"/>
      <c r="F9" s="9"/>
    </row>
    <row r="10" spans="1:6" x14ac:dyDescent="0.2">
      <c r="B10" s="2" t="s">
        <v>95</v>
      </c>
      <c r="C10" s="10">
        <v>1181855</v>
      </c>
      <c r="D10" s="10">
        <f>+D14+D24+D30+D57+D182+D206+D268+D314+D335+D362+D375+D397+D401+D416+D426+D461+D483+D494+D513</f>
        <v>45870450270</v>
      </c>
      <c r="E10" s="10">
        <f>+D10/(C10*12)</f>
        <v>3234.3540641618474</v>
      </c>
      <c r="F10" s="10">
        <v>80400</v>
      </c>
    </row>
    <row r="11" spans="1:6" x14ac:dyDescent="0.2">
      <c r="C11" s="1"/>
      <c r="D11" s="1"/>
      <c r="E11" s="1"/>
      <c r="F11" s="1"/>
    </row>
    <row r="12" spans="1:6" s="21" customFormat="1" ht="13.5" thickBot="1" x14ac:dyDescent="0.25">
      <c r="A12" s="18"/>
      <c r="B12" s="19" t="s">
        <v>373</v>
      </c>
      <c r="C12" s="20">
        <f>+C14+C24+C30+C57+C182+C206+C268+C314+C335+C362+C375+C397+C401+C416+C426+C461+C483+C494</f>
        <v>964778</v>
      </c>
      <c r="D12" s="20">
        <f>+D14+D24+D30+D57+D182+D206+D268+D314+D335+D362+D375+D397+D401+D416+D426+D461+D483+D494</f>
        <v>37242220063</v>
      </c>
      <c r="E12" s="20">
        <f>+D12/(C12*12)</f>
        <v>3216.821215433326</v>
      </c>
      <c r="F12" s="20">
        <f>+F14+F24+F30+F57+F182+F206+F268+F314+F335+F362+F375+F397+F401+F416+F426+F461+F483+F494</f>
        <v>76623</v>
      </c>
    </row>
    <row r="13" spans="1:6" ht="13.5" thickTop="1" x14ac:dyDescent="0.2">
      <c r="C13" s="4"/>
      <c r="D13" s="4"/>
      <c r="E13" s="4"/>
      <c r="F13" s="4"/>
    </row>
    <row r="14" spans="1:6" x14ac:dyDescent="0.2">
      <c r="A14" s="3"/>
      <c r="B14" s="2" t="s">
        <v>379</v>
      </c>
      <c r="C14" s="10">
        <f>+C15+C17+C21</f>
        <v>10442</v>
      </c>
      <c r="D14" s="10">
        <f>+D15+D17+D21</f>
        <v>731380885</v>
      </c>
      <c r="E14" s="10">
        <f>+D14/(C14*12)</f>
        <v>5836.8518562855133</v>
      </c>
      <c r="F14" s="10">
        <f>+F15+F17+F21</f>
        <v>540</v>
      </c>
    </row>
    <row r="15" spans="1:6" x14ac:dyDescent="0.2">
      <c r="A15"/>
      <c r="B15" t="s">
        <v>75</v>
      </c>
      <c r="C15" s="11">
        <f>+C16</f>
        <v>1406</v>
      </c>
      <c r="D15" s="11">
        <f>+D16</f>
        <v>131202532</v>
      </c>
      <c r="E15" s="12">
        <f>+D15/C15/12</f>
        <v>7776.3473210052152</v>
      </c>
      <c r="F15" s="11">
        <f>+F16</f>
        <v>55</v>
      </c>
    </row>
    <row r="16" spans="1:6" x14ac:dyDescent="0.2">
      <c r="A16"/>
      <c r="B16" t="s">
        <v>374</v>
      </c>
      <c r="C16" s="11">
        <v>1406</v>
      </c>
      <c r="D16" s="11">
        <v>131202532</v>
      </c>
      <c r="E16" s="11">
        <f>(D16/C16)/12</f>
        <v>7776.3473210052152</v>
      </c>
      <c r="F16" s="11">
        <v>55</v>
      </c>
    </row>
    <row r="17" spans="1:12" x14ac:dyDescent="0.2">
      <c r="A17"/>
      <c r="B17" t="s">
        <v>76</v>
      </c>
      <c r="C17" s="11">
        <f>SUM(C18:C20)</f>
        <v>4749</v>
      </c>
      <c r="D17" s="11">
        <f>SUM(D18:D20)</f>
        <v>317249045</v>
      </c>
      <c r="E17" s="12">
        <f>+D17/(C17*12)</f>
        <v>5566.9447076577526</v>
      </c>
      <c r="F17" s="11">
        <f>+F18+F19+F20</f>
        <v>108</v>
      </c>
    </row>
    <row r="18" spans="1:12" x14ac:dyDescent="0.2">
      <c r="A18"/>
      <c r="B18" t="s">
        <v>96</v>
      </c>
      <c r="C18" s="11">
        <v>1727</v>
      </c>
      <c r="D18" s="11">
        <v>129739996</v>
      </c>
      <c r="E18" s="11">
        <f>(D18/C18)/12</f>
        <v>6260.3742520748892</v>
      </c>
      <c r="F18" s="11">
        <v>14</v>
      </c>
    </row>
    <row r="19" spans="1:12" x14ac:dyDescent="0.2">
      <c r="A19"/>
      <c r="B19" t="s">
        <v>97</v>
      </c>
      <c r="C19" s="11">
        <v>1501</v>
      </c>
      <c r="D19" s="11">
        <v>119956948</v>
      </c>
      <c r="E19" s="11">
        <f>(D19/C19)/12</f>
        <v>6659.8349988896289</v>
      </c>
      <c r="F19" s="11">
        <v>18</v>
      </c>
    </row>
    <row r="20" spans="1:12" x14ac:dyDescent="0.2">
      <c r="A20"/>
      <c r="B20" t="s">
        <v>98</v>
      </c>
      <c r="C20" s="11">
        <v>1521</v>
      </c>
      <c r="D20" s="11">
        <v>67552101</v>
      </c>
      <c r="E20" s="11">
        <f>(D20/C20)/12</f>
        <v>3701.0793885601579</v>
      </c>
      <c r="F20" s="11">
        <v>76</v>
      </c>
    </row>
    <row r="21" spans="1:12" x14ac:dyDescent="0.2">
      <c r="A21"/>
      <c r="B21" t="s">
        <v>99</v>
      </c>
      <c r="C21" s="11">
        <f>+C22</f>
        <v>4287</v>
      </c>
      <c r="D21" s="11">
        <f>+D22</f>
        <v>282929308</v>
      </c>
      <c r="E21" s="12">
        <f>+D21/(C21*12)</f>
        <v>5499.7532851255737</v>
      </c>
      <c r="F21" s="11">
        <f>+F22</f>
        <v>377</v>
      </c>
    </row>
    <row r="22" spans="1:12" x14ac:dyDescent="0.2">
      <c r="A22"/>
      <c r="B22" t="s">
        <v>100</v>
      </c>
      <c r="C22" s="11">
        <v>4287</v>
      </c>
      <c r="D22" s="11">
        <v>282929308</v>
      </c>
      <c r="E22" s="11">
        <f>(D22/C22)/12</f>
        <v>5499.7532851255737</v>
      </c>
      <c r="F22" s="11">
        <v>377</v>
      </c>
    </row>
    <row r="23" spans="1:12" x14ac:dyDescent="0.2">
      <c r="A23"/>
      <c r="C23" s="11"/>
      <c r="D23" s="11"/>
      <c r="E23" s="11"/>
      <c r="F23" s="11"/>
    </row>
    <row r="24" spans="1:12" x14ac:dyDescent="0.2">
      <c r="A24" s="3"/>
      <c r="B24" s="2" t="s">
        <v>357</v>
      </c>
      <c r="C24" s="10">
        <f>C25</f>
        <v>4064</v>
      </c>
      <c r="D24" s="10">
        <f>+D25</f>
        <v>343124040</v>
      </c>
      <c r="E24" s="10">
        <f>+D24/(C24*12)</f>
        <v>7035.8439960629921</v>
      </c>
      <c r="F24" s="10">
        <f>+F25</f>
        <v>194</v>
      </c>
    </row>
    <row r="25" spans="1:12" x14ac:dyDescent="0.2">
      <c r="A25"/>
      <c r="B25" t="s">
        <v>101</v>
      </c>
      <c r="C25" s="11">
        <f>+C26+C27+C28</f>
        <v>4064</v>
      </c>
      <c r="D25" s="11">
        <f>+D26+D27+D28</f>
        <v>343124040</v>
      </c>
      <c r="E25" s="12">
        <f>+D25/(C25*12)</f>
        <v>7035.8439960629921</v>
      </c>
      <c r="F25" s="11">
        <f>+F26+F27+F28</f>
        <v>194</v>
      </c>
      <c r="I25" s="4"/>
      <c r="J25" s="4"/>
      <c r="K25" s="4"/>
      <c r="L25" s="4"/>
    </row>
    <row r="26" spans="1:12" x14ac:dyDescent="0.2">
      <c r="A26"/>
      <c r="B26" t="s">
        <v>52</v>
      </c>
      <c r="C26" s="11">
        <v>2823</v>
      </c>
      <c r="D26" s="11">
        <v>260440678</v>
      </c>
      <c r="E26" s="11">
        <f>(D26/C26)/12</f>
        <v>7688.0587436533242</v>
      </c>
      <c r="F26" s="11">
        <v>73</v>
      </c>
      <c r="I26" s="4"/>
      <c r="J26" s="4"/>
      <c r="K26" s="4"/>
      <c r="L26" s="4"/>
    </row>
    <row r="27" spans="1:12" x14ac:dyDescent="0.2">
      <c r="A27"/>
      <c r="B27" t="s">
        <v>102</v>
      </c>
      <c r="C27" s="11">
        <v>915</v>
      </c>
      <c r="D27" s="11">
        <v>71777755</v>
      </c>
      <c r="E27" s="11">
        <f>(D27/C27)/12</f>
        <v>6537.136156648452</v>
      </c>
      <c r="F27" s="11">
        <v>32</v>
      </c>
      <c r="I27" s="4"/>
      <c r="J27" s="4"/>
      <c r="K27" s="4"/>
      <c r="L27" s="4"/>
    </row>
    <row r="28" spans="1:12" x14ac:dyDescent="0.2">
      <c r="A28"/>
      <c r="B28" t="s">
        <v>53</v>
      </c>
      <c r="C28" s="11">
        <v>326</v>
      </c>
      <c r="D28" s="11">
        <v>10905607</v>
      </c>
      <c r="E28" s="11">
        <f>(D28/C28)/12</f>
        <v>2787.7318507157465</v>
      </c>
      <c r="F28" s="11">
        <v>89</v>
      </c>
      <c r="I28" s="4"/>
      <c r="J28" s="4"/>
      <c r="K28" s="4"/>
      <c r="L28" s="4"/>
    </row>
    <row r="29" spans="1:12" x14ac:dyDescent="0.2">
      <c r="A29"/>
      <c r="C29" s="11"/>
      <c r="D29" s="11"/>
      <c r="E29" s="10"/>
      <c r="F29" s="11"/>
      <c r="I29" s="4"/>
      <c r="J29" s="4"/>
      <c r="K29" s="4"/>
      <c r="L29" s="4"/>
    </row>
    <row r="30" spans="1:12" x14ac:dyDescent="0.2">
      <c r="A30" s="3"/>
      <c r="B30" s="2" t="s">
        <v>358</v>
      </c>
      <c r="C30" s="10">
        <f>+C31+C34+C39</f>
        <v>65223</v>
      </c>
      <c r="D30" s="10">
        <f>+D31+D34+D39</f>
        <v>2745166442</v>
      </c>
      <c r="E30" s="10">
        <f>+D30/(C30*12)</f>
        <v>3507.4110385395743</v>
      </c>
      <c r="F30" s="10">
        <f>+F31+F34+F39</f>
        <v>10209</v>
      </c>
    </row>
    <row r="31" spans="1:12" x14ac:dyDescent="0.2">
      <c r="A31"/>
      <c r="B31" t="s">
        <v>103</v>
      </c>
      <c r="C31" s="11">
        <f>+C32+C33</f>
        <v>12466</v>
      </c>
      <c r="D31" s="11">
        <f>+D32+D33</f>
        <v>552832187</v>
      </c>
      <c r="E31" s="12">
        <f>+D31/(C31*12)</f>
        <v>3695.5999451842345</v>
      </c>
      <c r="F31" s="11">
        <f>+F32+F33</f>
        <v>2644</v>
      </c>
      <c r="I31" s="4"/>
      <c r="J31" s="4"/>
      <c r="L31" s="4"/>
    </row>
    <row r="32" spans="1:12" x14ac:dyDescent="0.2">
      <c r="A32"/>
      <c r="B32" t="s">
        <v>104</v>
      </c>
      <c r="C32" s="11">
        <v>6061</v>
      </c>
      <c r="D32" s="11">
        <v>198277494</v>
      </c>
      <c r="E32" s="11">
        <f>(D32/C32)/12</f>
        <v>2726.1383435076718</v>
      </c>
      <c r="F32" s="11">
        <v>2142</v>
      </c>
      <c r="I32" s="4"/>
      <c r="J32" s="4"/>
      <c r="K32" s="4"/>
      <c r="L32" s="4"/>
    </row>
    <row r="33" spans="1:6" x14ac:dyDescent="0.2">
      <c r="A33"/>
      <c r="B33" t="s">
        <v>105</v>
      </c>
      <c r="C33" s="11">
        <v>6405</v>
      </c>
      <c r="D33" s="11">
        <v>354554693</v>
      </c>
      <c r="E33" s="11">
        <f>(D33/C33)/12</f>
        <v>4612.9936638043191</v>
      </c>
      <c r="F33" s="11">
        <v>502</v>
      </c>
    </row>
    <row r="34" spans="1:6" x14ac:dyDescent="0.2">
      <c r="A34"/>
      <c r="B34" t="s">
        <v>54</v>
      </c>
      <c r="C34" s="11">
        <f>+C35+C36+C37+C38</f>
        <v>9394</v>
      </c>
      <c r="D34" s="11">
        <f>+D35+D36+D37+D38</f>
        <v>530228282</v>
      </c>
      <c r="E34" s="12">
        <f>+D34/(C34*12)</f>
        <v>4703.6076396281314</v>
      </c>
      <c r="F34" s="11">
        <f>+F35+F36+F37+F38</f>
        <v>621</v>
      </c>
    </row>
    <row r="35" spans="1:6" x14ac:dyDescent="0.2">
      <c r="A35"/>
      <c r="B35" t="s">
        <v>106</v>
      </c>
      <c r="C35" s="11">
        <v>4384</v>
      </c>
      <c r="D35" s="11">
        <v>236041222</v>
      </c>
      <c r="E35" s="11">
        <f>(D35/C35)/12</f>
        <v>4486.7933013990269</v>
      </c>
      <c r="F35" s="11">
        <v>260</v>
      </c>
    </row>
    <row r="36" spans="1:6" x14ac:dyDescent="0.2">
      <c r="A36"/>
      <c r="B36" t="s">
        <v>378</v>
      </c>
      <c r="C36" s="11">
        <v>814</v>
      </c>
      <c r="D36" s="11">
        <v>40880042</v>
      </c>
      <c r="E36" s="11">
        <f>(D36/C36)/12</f>
        <v>4185.098484848485</v>
      </c>
      <c r="F36" s="11">
        <v>181</v>
      </c>
    </row>
    <row r="37" spans="1:6" x14ac:dyDescent="0.2">
      <c r="A37"/>
      <c r="B37" t="s">
        <v>77</v>
      </c>
      <c r="C37" s="11">
        <v>3048</v>
      </c>
      <c r="D37" s="11">
        <v>184400672</v>
      </c>
      <c r="E37" s="11">
        <f>(D37/C37)/12</f>
        <v>5041.5756780402453</v>
      </c>
      <c r="F37" s="11">
        <v>112</v>
      </c>
    </row>
    <row r="38" spans="1:6" x14ac:dyDescent="0.2">
      <c r="A38"/>
      <c r="B38" t="s">
        <v>107</v>
      </c>
      <c r="C38" s="11">
        <v>1148</v>
      </c>
      <c r="D38" s="11">
        <v>68906346</v>
      </c>
      <c r="E38" s="11">
        <f>(D38/C38)/12</f>
        <v>5001.9124564459935</v>
      </c>
      <c r="F38" s="11">
        <v>68</v>
      </c>
    </row>
    <row r="39" spans="1:6" x14ac:dyDescent="0.2">
      <c r="A39"/>
      <c r="B39" t="s">
        <v>108</v>
      </c>
      <c r="C39" s="11">
        <f>+C40+C53+C54+C55</f>
        <v>43363</v>
      </c>
      <c r="D39" s="11">
        <f>+D40+D53+D54+D55</f>
        <v>1662105973</v>
      </c>
      <c r="E39" s="12">
        <f>+D39/(C39*12)</f>
        <v>3194.1708618714879</v>
      </c>
      <c r="F39" s="11">
        <f>+F40+F53+F54+F55</f>
        <v>6944</v>
      </c>
    </row>
    <row r="40" spans="1:6" x14ac:dyDescent="0.2">
      <c r="A40"/>
      <c r="B40" t="s">
        <v>55</v>
      </c>
      <c r="C40" s="11">
        <v>9734</v>
      </c>
      <c r="D40" s="11">
        <v>317186625</v>
      </c>
      <c r="E40" s="11">
        <f>(D40/C40)/12</f>
        <v>2715.4529227450175</v>
      </c>
      <c r="F40" s="11">
        <v>1625</v>
      </c>
    </row>
    <row r="41" spans="1:6" x14ac:dyDescent="0.2">
      <c r="A41"/>
      <c r="C41" s="11"/>
      <c r="D41" s="11"/>
      <c r="E41" s="11"/>
      <c r="F41" s="11"/>
    </row>
    <row r="42" spans="1:6" x14ac:dyDescent="0.2">
      <c r="A42"/>
      <c r="C42" s="11"/>
      <c r="D42" s="11"/>
      <c r="E42" s="11"/>
      <c r="F42" s="11"/>
    </row>
    <row r="43" spans="1:6" x14ac:dyDescent="0.2">
      <c r="A43"/>
      <c r="B43" s="17" t="s">
        <v>422</v>
      </c>
      <c r="C43" s="11"/>
      <c r="D43" s="11"/>
      <c r="E43" s="11"/>
      <c r="F43" s="11"/>
    </row>
    <row r="44" spans="1:6" x14ac:dyDescent="0.2">
      <c r="B44" s="2"/>
      <c r="C44" s="2"/>
      <c r="D44" s="2"/>
      <c r="E44" s="2"/>
      <c r="F44" s="2"/>
    </row>
    <row r="45" spans="1:6" x14ac:dyDescent="0.2">
      <c r="B45" s="2"/>
      <c r="C45" s="2"/>
      <c r="D45" s="2"/>
      <c r="E45" s="2"/>
      <c r="F45" s="2"/>
    </row>
    <row r="46" spans="1:6" x14ac:dyDescent="0.2">
      <c r="B46" s="2"/>
      <c r="C46" s="2"/>
      <c r="D46" s="2"/>
      <c r="E46" s="2"/>
      <c r="F46" s="2"/>
    </row>
    <row r="47" spans="1:6" x14ac:dyDescent="0.2">
      <c r="B47" s="2"/>
      <c r="C47" s="2"/>
      <c r="D47" s="2"/>
      <c r="E47" s="2"/>
      <c r="F47" s="2"/>
    </row>
    <row r="49" spans="1:6" x14ac:dyDescent="0.2">
      <c r="C49" s="3" t="s">
        <v>82</v>
      </c>
      <c r="D49" s="3"/>
      <c r="E49" s="3" t="s">
        <v>82</v>
      </c>
      <c r="F49" s="3"/>
    </row>
    <row r="50" spans="1:6" x14ac:dyDescent="0.2">
      <c r="C50" s="3" t="s">
        <v>83</v>
      </c>
      <c r="D50" s="3"/>
      <c r="E50" s="3" t="s">
        <v>85</v>
      </c>
      <c r="F50" s="3" t="s">
        <v>86</v>
      </c>
    </row>
    <row r="51" spans="1:6" x14ac:dyDescent="0.2">
      <c r="C51" s="3" t="s">
        <v>84</v>
      </c>
      <c r="D51" s="3" t="s">
        <v>88</v>
      </c>
      <c r="E51" s="3" t="s">
        <v>89</v>
      </c>
      <c r="F51" s="3" t="s">
        <v>87</v>
      </c>
    </row>
    <row r="52" spans="1:6" x14ac:dyDescent="0.2">
      <c r="C52" s="11" t="s">
        <v>90</v>
      </c>
      <c r="D52" s="11"/>
      <c r="E52" s="1"/>
      <c r="F52" s="11"/>
    </row>
    <row r="53" spans="1:6" x14ac:dyDescent="0.2">
      <c r="A53"/>
      <c r="B53" t="s">
        <v>109</v>
      </c>
      <c r="C53" s="11">
        <v>17110</v>
      </c>
      <c r="D53" s="11">
        <v>767314110</v>
      </c>
      <c r="E53" s="11">
        <f>(D53/C53)/12</f>
        <v>3737.1620397428401</v>
      </c>
      <c r="F53" s="11">
        <v>2165</v>
      </c>
    </row>
    <row r="54" spans="1:6" x14ac:dyDescent="0.2">
      <c r="A54"/>
      <c r="B54" t="s">
        <v>110</v>
      </c>
      <c r="C54" s="11">
        <v>8804</v>
      </c>
      <c r="D54" s="11">
        <v>258381359</v>
      </c>
      <c r="E54" s="11">
        <f>(D54/C54)/12</f>
        <v>2445.6814989398758</v>
      </c>
      <c r="F54" s="11">
        <v>1972</v>
      </c>
    </row>
    <row r="55" spans="1:6" x14ac:dyDescent="0.2">
      <c r="A55"/>
      <c r="B55" t="s">
        <v>111</v>
      </c>
      <c r="C55" s="11">
        <v>7715</v>
      </c>
      <c r="D55" s="11">
        <f>319264262-40383</f>
        <v>319223879</v>
      </c>
      <c r="E55" s="11">
        <f>(D55/C55)/12</f>
        <v>3448.086833009289</v>
      </c>
      <c r="F55" s="11">
        <v>1182</v>
      </c>
    </row>
    <row r="56" spans="1:6" x14ac:dyDescent="0.2">
      <c r="A56"/>
      <c r="C56" s="11"/>
      <c r="D56" s="11"/>
      <c r="E56" s="11"/>
      <c r="F56" s="11"/>
    </row>
    <row r="57" spans="1:6" x14ac:dyDescent="0.2">
      <c r="A57" s="3"/>
      <c r="B57" s="2" t="s">
        <v>359</v>
      </c>
      <c r="C57" s="10">
        <f>+C58+C60+C69+C70+C71+C74+C78+C79+C83+C84+C96+C98+C106+C109+C115+C119+C139+C147+C154+C158+C163+C167</f>
        <v>111072</v>
      </c>
      <c r="D57" s="10">
        <f>+D58+D60+D69+D70+D71+D74+D78+D79+D83+D84+D96+D98+D106+D109+D115+D119+D139+D147+D154+D158+D163+D167</f>
        <v>5476074001</v>
      </c>
      <c r="E57" s="10">
        <f>(D57/C57)/12</f>
        <v>4108.5016933460583</v>
      </c>
      <c r="F57" s="10">
        <f>+F58+F60+F69+F70+F71+F74+F78+F79+F83+F84+F96+F98+F106+F109+F115+F119+F139+F147+F154+F158+F163+F167</f>
        <v>3688</v>
      </c>
    </row>
    <row r="58" spans="1:6" x14ac:dyDescent="0.2">
      <c r="A58" s="3"/>
      <c r="B58" t="s">
        <v>387</v>
      </c>
      <c r="C58" s="12">
        <f>+C59</f>
        <v>42</v>
      </c>
      <c r="D58" s="12">
        <f>+D59</f>
        <v>1133790</v>
      </c>
      <c r="E58" s="12">
        <f>+D58/(C58*12)</f>
        <v>2249.5833333333335</v>
      </c>
      <c r="F58" s="12">
        <f>+F59</f>
        <v>6</v>
      </c>
    </row>
    <row r="59" spans="1:6" x14ac:dyDescent="0.2">
      <c r="A59" s="3"/>
      <c r="B59" t="s">
        <v>388</v>
      </c>
      <c r="C59" s="12">
        <v>42</v>
      </c>
      <c r="D59" s="12">
        <v>1133790</v>
      </c>
      <c r="E59" s="11">
        <f>(D59/C59)/12</f>
        <v>2249.5833333333335</v>
      </c>
      <c r="F59" s="12">
        <v>6</v>
      </c>
    </row>
    <row r="60" spans="1:6" x14ac:dyDescent="0.2">
      <c r="A60"/>
      <c r="B60" t="s">
        <v>112</v>
      </c>
      <c r="C60" s="11">
        <f>SUM(C61:C68)</f>
        <v>14914</v>
      </c>
      <c r="D60" s="11">
        <f>+D61+D62+D63+D64+D65+D66+D67+D68</f>
        <v>544601756</v>
      </c>
      <c r="E60" s="12">
        <f>+D60/(C60*12)</f>
        <v>3043.0119127441776</v>
      </c>
      <c r="F60" s="11">
        <f>+F61+F62+F63+F64+F65+F66+F67+F68</f>
        <v>312</v>
      </c>
    </row>
    <row r="61" spans="1:6" x14ac:dyDescent="0.2">
      <c r="A61"/>
      <c r="B61" t="s">
        <v>182</v>
      </c>
      <c r="C61" s="11">
        <v>769</v>
      </c>
      <c r="D61" s="11">
        <v>34378852</v>
      </c>
      <c r="E61" s="11">
        <f t="shared" ref="E61:E68" si="0">(D61/C61)/12</f>
        <v>3725.4932813177288</v>
      </c>
      <c r="F61" s="11">
        <v>20</v>
      </c>
    </row>
    <row r="62" spans="1:6" x14ac:dyDescent="0.2">
      <c r="A62"/>
      <c r="B62" t="s">
        <v>56</v>
      </c>
      <c r="C62" s="11">
        <v>541</v>
      </c>
      <c r="D62" s="11">
        <v>28614408</v>
      </c>
      <c r="E62" s="11">
        <f t="shared" si="0"/>
        <v>4407.641404805915</v>
      </c>
      <c r="F62" s="11">
        <v>11</v>
      </c>
    </row>
    <row r="63" spans="1:6" x14ac:dyDescent="0.2">
      <c r="A63"/>
      <c r="B63" t="s">
        <v>57</v>
      </c>
      <c r="C63" s="11">
        <v>792</v>
      </c>
      <c r="D63" s="11">
        <v>18832856</v>
      </c>
      <c r="E63" s="11">
        <f t="shared" si="0"/>
        <v>1981.571548821549</v>
      </c>
      <c r="F63" s="11">
        <v>39</v>
      </c>
    </row>
    <row r="64" spans="1:6" x14ac:dyDescent="0.2">
      <c r="A64"/>
      <c r="B64" t="s">
        <v>58</v>
      </c>
      <c r="C64" s="11">
        <v>2064</v>
      </c>
      <c r="D64" s="11">
        <v>79642589</v>
      </c>
      <c r="E64" s="11">
        <f t="shared" si="0"/>
        <v>3215.5438065245476</v>
      </c>
      <c r="F64" s="11">
        <v>11</v>
      </c>
    </row>
    <row r="65" spans="1:6" x14ac:dyDescent="0.2">
      <c r="A65"/>
      <c r="B65" t="s">
        <v>113</v>
      </c>
      <c r="C65" s="11">
        <v>2966</v>
      </c>
      <c r="D65" s="11">
        <v>130836877</v>
      </c>
      <c r="E65" s="11">
        <f t="shared" si="0"/>
        <v>3676.0192458979545</v>
      </c>
      <c r="F65" s="11">
        <v>31</v>
      </c>
    </row>
    <row r="66" spans="1:6" x14ac:dyDescent="0.2">
      <c r="A66"/>
      <c r="B66" t="s">
        <v>59</v>
      </c>
      <c r="C66" s="11">
        <v>3240</v>
      </c>
      <c r="D66" s="11">
        <v>110209619</v>
      </c>
      <c r="E66" s="11">
        <f t="shared" si="0"/>
        <v>2834.6095421810701</v>
      </c>
      <c r="F66" s="11">
        <v>48</v>
      </c>
    </row>
    <row r="67" spans="1:6" x14ac:dyDescent="0.2">
      <c r="A67"/>
      <c r="B67" t="s">
        <v>114</v>
      </c>
      <c r="C67" s="11">
        <v>3618</v>
      </c>
      <c r="D67" s="11">
        <v>103473667</v>
      </c>
      <c r="E67" s="11">
        <f t="shared" si="0"/>
        <v>2383.3072369633314</v>
      </c>
      <c r="F67" s="11">
        <v>122</v>
      </c>
    </row>
    <row r="68" spans="1:6" x14ac:dyDescent="0.2">
      <c r="A68"/>
      <c r="B68" t="s">
        <v>390</v>
      </c>
      <c r="C68" s="11">
        <f>921+3</f>
        <v>924</v>
      </c>
      <c r="D68" s="11">
        <f>38506400+106488</f>
        <v>38612888</v>
      </c>
      <c r="E68" s="11">
        <f t="shared" si="0"/>
        <v>3482.4033189033184</v>
      </c>
      <c r="F68" s="11">
        <v>30</v>
      </c>
    </row>
    <row r="69" spans="1:6" x14ac:dyDescent="0.2">
      <c r="A69"/>
      <c r="B69" t="s">
        <v>115</v>
      </c>
      <c r="C69" s="11">
        <v>710</v>
      </c>
      <c r="D69" s="11">
        <v>28600123</v>
      </c>
      <c r="E69" s="12">
        <f>+D69/(C69*12)</f>
        <v>3356.8219483568073</v>
      </c>
      <c r="F69" s="11">
        <v>38</v>
      </c>
    </row>
    <row r="70" spans="1:6" x14ac:dyDescent="0.2">
      <c r="A70"/>
      <c r="B70" t="s">
        <v>116</v>
      </c>
      <c r="C70" s="11">
        <v>382</v>
      </c>
      <c r="D70" s="11">
        <v>10798203</v>
      </c>
      <c r="E70" s="12">
        <f>+D70/(C70*12)</f>
        <v>2355.6289267015709</v>
      </c>
      <c r="F70" s="11">
        <v>17</v>
      </c>
    </row>
    <row r="71" spans="1:6" x14ac:dyDescent="0.2">
      <c r="A71"/>
      <c r="B71" t="s">
        <v>117</v>
      </c>
      <c r="C71" s="11">
        <f>SUM(C72:C73)</f>
        <v>781</v>
      </c>
      <c r="D71" s="11">
        <f>+D72+D73</f>
        <v>23238268</v>
      </c>
      <c r="E71" s="12">
        <f>+D71/(C71*12)</f>
        <v>2479.5420401195047</v>
      </c>
      <c r="F71" s="11">
        <f>+F72+F73</f>
        <v>78</v>
      </c>
    </row>
    <row r="72" spans="1:6" x14ac:dyDescent="0.2">
      <c r="A72"/>
      <c r="B72" t="s">
        <v>118</v>
      </c>
      <c r="C72" s="11">
        <v>151</v>
      </c>
      <c r="D72" s="11">
        <v>3518268</v>
      </c>
      <c r="E72" s="11">
        <f>(D72/C72)/12</f>
        <v>1941.6490066225167</v>
      </c>
      <c r="F72" s="11">
        <v>18</v>
      </c>
    </row>
    <row r="73" spans="1:6" x14ac:dyDescent="0.2">
      <c r="A73"/>
      <c r="B73" t="s">
        <v>119</v>
      </c>
      <c r="C73" s="11">
        <v>630</v>
      </c>
      <c r="D73" s="11">
        <v>19720000</v>
      </c>
      <c r="E73" s="11">
        <f>(D73/C73)/12</f>
        <v>2608.4656084656085</v>
      </c>
      <c r="F73" s="11">
        <v>60</v>
      </c>
    </row>
    <row r="74" spans="1:6" x14ac:dyDescent="0.2">
      <c r="A74"/>
      <c r="B74" t="s">
        <v>120</v>
      </c>
      <c r="C74" s="11">
        <f>SUM(C75:C77)</f>
        <v>1275</v>
      </c>
      <c r="D74" s="11">
        <f>SUM(D75:D77)</f>
        <v>30028741</v>
      </c>
      <c r="E74" s="11">
        <f>(D74/C74)/12</f>
        <v>1962.6628104575163</v>
      </c>
      <c r="F74" s="11">
        <f>SUM(F75:F77)</f>
        <v>42</v>
      </c>
    </row>
    <row r="75" spans="1:6" x14ac:dyDescent="0.2">
      <c r="A75"/>
      <c r="B75" t="s">
        <v>411</v>
      </c>
      <c r="C75" s="11">
        <v>50</v>
      </c>
      <c r="D75" s="11">
        <v>1257790</v>
      </c>
      <c r="E75" s="11">
        <f t="shared" ref="E75:E157" si="1">(D75/C75)/12</f>
        <v>2096.3166666666666</v>
      </c>
      <c r="F75" s="11">
        <v>2</v>
      </c>
    </row>
    <row r="76" spans="1:6" x14ac:dyDescent="0.2">
      <c r="A76"/>
      <c r="B76" t="s">
        <v>60</v>
      </c>
      <c r="C76" s="11">
        <v>1140</v>
      </c>
      <c r="D76" s="11">
        <v>26260967</v>
      </c>
      <c r="E76" s="11">
        <f t="shared" si="1"/>
        <v>1919.6613304093569</v>
      </c>
      <c r="F76" s="11">
        <v>28</v>
      </c>
    </row>
    <row r="77" spans="1:6" x14ac:dyDescent="0.2">
      <c r="A77"/>
      <c r="B77" t="s">
        <v>412</v>
      </c>
      <c r="C77" s="11">
        <v>85</v>
      </c>
      <c r="D77" s="11">
        <v>2509984</v>
      </c>
      <c r="E77" s="11">
        <f t="shared" si="1"/>
        <v>2460.7686274509801</v>
      </c>
      <c r="F77" s="11">
        <v>12</v>
      </c>
    </row>
    <row r="78" spans="1:6" x14ac:dyDescent="0.2">
      <c r="A78"/>
      <c r="B78" t="s">
        <v>121</v>
      </c>
      <c r="C78" s="11">
        <v>151</v>
      </c>
      <c r="D78" s="11">
        <v>3712329</v>
      </c>
      <c r="E78" s="11">
        <f t="shared" si="1"/>
        <v>2048.7466887417218</v>
      </c>
      <c r="F78" s="11">
        <v>20</v>
      </c>
    </row>
    <row r="79" spans="1:6" x14ac:dyDescent="0.2">
      <c r="A79"/>
      <c r="B79" t="s">
        <v>122</v>
      </c>
      <c r="C79" s="11">
        <f>SUM(C80:C82)</f>
        <v>1716</v>
      </c>
      <c r="D79" s="11">
        <f>+D80+D81+D82</f>
        <v>49986478</v>
      </c>
      <c r="E79" s="11">
        <f t="shared" si="1"/>
        <v>2427.4707653457654</v>
      </c>
      <c r="F79" s="11">
        <f>+F80+F81+F82</f>
        <v>162</v>
      </c>
    </row>
    <row r="80" spans="1:6" x14ac:dyDescent="0.2">
      <c r="A80"/>
      <c r="B80" t="s">
        <v>61</v>
      </c>
      <c r="C80" s="11">
        <v>133</v>
      </c>
      <c r="D80" s="11">
        <v>3911842</v>
      </c>
      <c r="E80" s="11">
        <f t="shared" si="1"/>
        <v>2451.0288220551379</v>
      </c>
      <c r="F80" s="11">
        <v>18</v>
      </c>
    </row>
    <row r="81" spans="1:6" x14ac:dyDescent="0.2">
      <c r="A81"/>
      <c r="B81" t="s">
        <v>183</v>
      </c>
      <c r="C81" s="11">
        <v>254</v>
      </c>
      <c r="D81" s="11">
        <v>7879986</v>
      </c>
      <c r="E81" s="11">
        <f t="shared" si="1"/>
        <v>2585.2972440944882</v>
      </c>
      <c r="F81" s="11">
        <v>21</v>
      </c>
    </row>
    <row r="82" spans="1:6" x14ac:dyDescent="0.2">
      <c r="A82"/>
      <c r="B82" t="s">
        <v>123</v>
      </c>
      <c r="C82" s="11">
        <v>1329</v>
      </c>
      <c r="D82" s="11">
        <v>38194650</v>
      </c>
      <c r="E82" s="11">
        <f t="shared" si="1"/>
        <v>2394.9492099322802</v>
      </c>
      <c r="F82" s="11">
        <v>123</v>
      </c>
    </row>
    <row r="83" spans="1:6" x14ac:dyDescent="0.2">
      <c r="A83"/>
      <c r="B83" t="s">
        <v>124</v>
      </c>
      <c r="C83" s="11">
        <v>2675</v>
      </c>
      <c r="D83" s="11">
        <v>130820316</v>
      </c>
      <c r="E83" s="11">
        <f t="shared" si="1"/>
        <v>4075.3992523364486</v>
      </c>
      <c r="F83" s="11">
        <v>40</v>
      </c>
    </row>
    <row r="84" spans="1:6" x14ac:dyDescent="0.2">
      <c r="A84"/>
      <c r="B84" t="s">
        <v>125</v>
      </c>
      <c r="C84" s="11">
        <f>+C95</f>
        <v>5391</v>
      </c>
      <c r="D84" s="11">
        <f>+D95</f>
        <v>197893727</v>
      </c>
      <c r="E84" s="11">
        <f t="shared" si="1"/>
        <v>3059.0138966178197</v>
      </c>
      <c r="F84" s="11">
        <f>+F95</f>
        <v>312</v>
      </c>
    </row>
    <row r="86" spans="1:6" x14ac:dyDescent="0.2">
      <c r="B86" s="17" t="s">
        <v>422</v>
      </c>
    </row>
    <row r="87" spans="1:6" x14ac:dyDescent="0.2">
      <c r="B87" s="2"/>
      <c r="C87" s="2"/>
      <c r="D87" s="2"/>
      <c r="E87" s="2"/>
      <c r="F87" s="2"/>
    </row>
    <row r="88" spans="1:6" x14ac:dyDescent="0.2">
      <c r="B88" s="2"/>
      <c r="C88" s="2"/>
      <c r="D88" s="2"/>
      <c r="E88" s="2"/>
      <c r="F88" s="2"/>
    </row>
    <row r="89" spans="1:6" x14ac:dyDescent="0.2">
      <c r="B89" s="2"/>
      <c r="C89" s="2"/>
      <c r="D89" s="2"/>
      <c r="E89" s="2"/>
      <c r="F89" s="2"/>
    </row>
    <row r="90" spans="1:6" x14ac:dyDescent="0.2">
      <c r="B90" s="2"/>
      <c r="C90" s="2"/>
      <c r="D90" s="2"/>
      <c r="E90" s="2"/>
      <c r="F90" s="2"/>
    </row>
    <row r="91" spans="1:6" x14ac:dyDescent="0.2">
      <c r="C91" s="3" t="s">
        <v>82</v>
      </c>
      <c r="D91" s="3"/>
      <c r="E91" s="3" t="s">
        <v>82</v>
      </c>
      <c r="F91" s="3"/>
    </row>
    <row r="92" spans="1:6" x14ac:dyDescent="0.2">
      <c r="C92" s="3" t="s">
        <v>83</v>
      </c>
      <c r="D92" s="3"/>
      <c r="E92" s="3" t="s">
        <v>85</v>
      </c>
      <c r="F92" s="3" t="s">
        <v>86</v>
      </c>
    </row>
    <row r="93" spans="1:6" x14ac:dyDescent="0.2">
      <c r="C93" s="3" t="s">
        <v>84</v>
      </c>
      <c r="D93" s="3" t="s">
        <v>88</v>
      </c>
      <c r="E93" s="3" t="s">
        <v>89</v>
      </c>
      <c r="F93" s="3" t="s">
        <v>87</v>
      </c>
    </row>
    <row r="94" spans="1:6" x14ac:dyDescent="0.2">
      <c r="A94"/>
      <c r="C94" s="11"/>
      <c r="D94" s="11"/>
      <c r="E94" s="11"/>
      <c r="F94" s="11"/>
    </row>
    <row r="95" spans="1:6" x14ac:dyDescent="0.2">
      <c r="A95"/>
      <c r="B95" t="s">
        <v>126</v>
      </c>
      <c r="C95" s="11">
        <v>5391</v>
      </c>
      <c r="D95" s="11">
        <v>197893727</v>
      </c>
      <c r="E95" s="11">
        <f t="shared" ref="E95:E100" si="2">(D95/C95)/12</f>
        <v>3059.0138966178197</v>
      </c>
      <c r="F95" s="11">
        <v>312</v>
      </c>
    </row>
    <row r="96" spans="1:6" x14ac:dyDescent="0.2">
      <c r="A96"/>
      <c r="B96" t="s">
        <v>127</v>
      </c>
      <c r="C96" s="11">
        <f>+C97</f>
        <v>1217</v>
      </c>
      <c r="D96" s="11">
        <f>+D97</f>
        <v>111726702</v>
      </c>
      <c r="E96" s="11">
        <f t="shared" si="2"/>
        <v>7650.4178307313059</v>
      </c>
      <c r="F96" s="11">
        <f>+F97</f>
        <v>24</v>
      </c>
    </row>
    <row r="97" spans="1:6" x14ac:dyDescent="0.2">
      <c r="A97"/>
      <c r="B97" t="s">
        <v>128</v>
      </c>
      <c r="C97" s="11">
        <v>1217</v>
      </c>
      <c r="D97" s="11">
        <v>111726702</v>
      </c>
      <c r="E97" s="11">
        <f t="shared" si="2"/>
        <v>7650.4178307313059</v>
      </c>
      <c r="F97" s="11">
        <v>24</v>
      </c>
    </row>
    <row r="98" spans="1:6" x14ac:dyDescent="0.2">
      <c r="A98"/>
      <c r="B98" t="s">
        <v>129</v>
      </c>
      <c r="C98" s="11">
        <f>SUM(C99:C105)</f>
        <v>7915</v>
      </c>
      <c r="D98" s="13">
        <f>SUM(D99:D105)</f>
        <v>433113944</v>
      </c>
      <c r="E98" s="11">
        <f t="shared" si="2"/>
        <v>4560.0541587702673</v>
      </c>
      <c r="F98" s="13">
        <f>SUM(F99:F105)</f>
        <v>182</v>
      </c>
    </row>
    <row r="99" spans="1:6" x14ac:dyDescent="0.2">
      <c r="A99"/>
      <c r="B99" t="s">
        <v>130</v>
      </c>
      <c r="C99" s="11">
        <v>981</v>
      </c>
      <c r="D99" s="11">
        <v>58239202</v>
      </c>
      <c r="E99" s="11">
        <f t="shared" si="2"/>
        <v>4947.2648657832142</v>
      </c>
      <c r="F99" s="11">
        <v>22</v>
      </c>
    </row>
    <row r="100" spans="1:6" x14ac:dyDescent="0.2">
      <c r="A100"/>
      <c r="B100" t="s">
        <v>131</v>
      </c>
      <c r="C100" s="11">
        <v>83</v>
      </c>
      <c r="D100" s="11">
        <v>3091677</v>
      </c>
      <c r="E100" s="11">
        <f t="shared" si="2"/>
        <v>3104.0933734939758</v>
      </c>
      <c r="F100" s="11">
        <v>10</v>
      </c>
    </row>
    <row r="101" spans="1:6" x14ac:dyDescent="0.2">
      <c r="A101"/>
      <c r="B101" t="s">
        <v>132</v>
      </c>
      <c r="C101" s="11">
        <v>172</v>
      </c>
      <c r="D101" s="11">
        <v>11349009</v>
      </c>
      <c r="E101" s="11">
        <f t="shared" si="1"/>
        <v>5498.5508720930229</v>
      </c>
      <c r="F101" s="11">
        <v>11</v>
      </c>
    </row>
    <row r="102" spans="1:6" x14ac:dyDescent="0.2">
      <c r="A102"/>
      <c r="B102" t="s">
        <v>184</v>
      </c>
      <c r="C102" s="11">
        <v>4701</v>
      </c>
      <c r="D102" s="11">
        <v>261824610</v>
      </c>
      <c r="E102" s="11">
        <f t="shared" si="1"/>
        <v>4641.292810040417</v>
      </c>
      <c r="F102" s="11">
        <v>79</v>
      </c>
    </row>
    <row r="103" spans="1:6" x14ac:dyDescent="0.2">
      <c r="A103"/>
      <c r="B103" t="s">
        <v>133</v>
      </c>
      <c r="C103" s="11">
        <v>161</v>
      </c>
      <c r="D103" s="11">
        <v>7162307</v>
      </c>
      <c r="E103" s="11">
        <f t="shared" si="1"/>
        <v>3707.1982401656314</v>
      </c>
      <c r="F103" s="11">
        <v>15</v>
      </c>
    </row>
    <row r="104" spans="1:6" x14ac:dyDescent="0.2">
      <c r="A104"/>
      <c r="B104" t="s">
        <v>134</v>
      </c>
      <c r="C104" s="11">
        <v>1714</v>
      </c>
      <c r="D104" s="11">
        <v>86917393</v>
      </c>
      <c r="E104" s="11">
        <f t="shared" si="1"/>
        <v>4225.8553578374176</v>
      </c>
      <c r="F104" s="11">
        <v>25</v>
      </c>
    </row>
    <row r="105" spans="1:6" x14ac:dyDescent="0.2">
      <c r="A105"/>
      <c r="B105" t="s">
        <v>135</v>
      </c>
      <c r="C105" s="11">
        <v>103</v>
      </c>
      <c r="D105" s="11">
        <v>4529746</v>
      </c>
      <c r="E105" s="11">
        <f t="shared" si="1"/>
        <v>3664.8430420711975</v>
      </c>
      <c r="F105" s="11">
        <v>20</v>
      </c>
    </row>
    <row r="106" spans="1:6" x14ac:dyDescent="0.2">
      <c r="A106"/>
      <c r="B106" t="s">
        <v>136</v>
      </c>
      <c r="C106" s="11">
        <f>SUM(C107:C108)</f>
        <v>4020</v>
      </c>
      <c r="D106" s="11">
        <f>+D107+D108</f>
        <v>153394452</v>
      </c>
      <c r="E106" s="11">
        <f t="shared" si="1"/>
        <v>3179.818656716418</v>
      </c>
      <c r="F106" s="11">
        <f>+F107+F108</f>
        <v>157</v>
      </c>
    </row>
    <row r="107" spans="1:6" x14ac:dyDescent="0.2">
      <c r="A107"/>
      <c r="B107" t="s">
        <v>137</v>
      </c>
      <c r="C107" s="11">
        <v>3555</v>
      </c>
      <c r="D107" s="11">
        <v>132713896</v>
      </c>
      <c r="E107" s="11">
        <f t="shared" si="1"/>
        <v>3110.9680262541024</v>
      </c>
      <c r="F107" s="11">
        <v>135</v>
      </c>
    </row>
    <row r="108" spans="1:6" x14ac:dyDescent="0.2">
      <c r="A108"/>
      <c r="B108" t="s">
        <v>138</v>
      </c>
      <c r="C108" s="11">
        <v>465</v>
      </c>
      <c r="D108" s="11">
        <v>20680556</v>
      </c>
      <c r="E108" s="11">
        <f t="shared" si="1"/>
        <v>3706.1928315412188</v>
      </c>
      <c r="F108" s="11">
        <v>22</v>
      </c>
    </row>
    <row r="109" spans="1:6" x14ac:dyDescent="0.2">
      <c r="A109"/>
      <c r="B109" t="s">
        <v>139</v>
      </c>
      <c r="C109" s="11">
        <f>SUM(C110:C114)</f>
        <v>4535</v>
      </c>
      <c r="D109" s="11">
        <f>+D110+D111+D112+D113+D114</f>
        <v>209289335</v>
      </c>
      <c r="E109" s="11">
        <f t="shared" si="1"/>
        <v>3845.8165196618888</v>
      </c>
      <c r="F109" s="11">
        <f>+F110+F111+F112+F113+F114</f>
        <v>195</v>
      </c>
    </row>
    <row r="110" spans="1:6" x14ac:dyDescent="0.2">
      <c r="A110"/>
      <c r="B110" t="s">
        <v>140</v>
      </c>
      <c r="C110" s="11">
        <v>237</v>
      </c>
      <c r="D110" s="11">
        <v>8915437</v>
      </c>
      <c r="E110" s="11">
        <f t="shared" si="1"/>
        <v>3134.8231364275671</v>
      </c>
      <c r="F110" s="11">
        <v>18</v>
      </c>
    </row>
    <row r="111" spans="1:6" x14ac:dyDescent="0.2">
      <c r="A111"/>
      <c r="B111" t="s">
        <v>141</v>
      </c>
      <c r="C111" s="11">
        <v>472</v>
      </c>
      <c r="D111" s="11">
        <v>16711447</v>
      </c>
      <c r="E111" s="11">
        <f t="shared" si="1"/>
        <v>2950.4673375706211</v>
      </c>
      <c r="F111" s="11">
        <v>17</v>
      </c>
    </row>
    <row r="112" spans="1:6" x14ac:dyDescent="0.2">
      <c r="A112"/>
      <c r="B112" t="s">
        <v>142</v>
      </c>
      <c r="C112" s="11">
        <v>2489</v>
      </c>
      <c r="D112" s="11">
        <v>118590251</v>
      </c>
      <c r="E112" s="11">
        <f t="shared" si="1"/>
        <v>3970.4784719432168</v>
      </c>
      <c r="F112" s="11">
        <v>97</v>
      </c>
    </row>
    <row r="113" spans="1:6" x14ac:dyDescent="0.2">
      <c r="A113"/>
      <c r="B113" t="s">
        <v>143</v>
      </c>
      <c r="C113" s="11">
        <v>206</v>
      </c>
      <c r="D113" s="11">
        <v>9844685</v>
      </c>
      <c r="E113" s="11">
        <f t="shared" si="1"/>
        <v>3982.4777508090615</v>
      </c>
      <c r="F113" s="11">
        <v>6</v>
      </c>
    </row>
    <row r="114" spans="1:6" x14ac:dyDescent="0.2">
      <c r="A114"/>
      <c r="B114" t="s">
        <v>144</v>
      </c>
      <c r="C114" s="11">
        <v>1131</v>
      </c>
      <c r="D114" s="11">
        <v>55227515</v>
      </c>
      <c r="E114" s="11">
        <f t="shared" si="1"/>
        <v>4069.2245063365754</v>
      </c>
      <c r="F114" s="11">
        <v>57</v>
      </c>
    </row>
    <row r="115" spans="1:6" x14ac:dyDescent="0.2">
      <c r="A115"/>
      <c r="B115" t="s">
        <v>145</v>
      </c>
      <c r="C115" s="11">
        <f>SUM(C116:C118)</f>
        <v>3605</v>
      </c>
      <c r="D115" s="11">
        <f>SUM(D116:D118)</f>
        <v>228587507</v>
      </c>
      <c r="E115" s="11">
        <f t="shared" si="1"/>
        <v>5284.0385344429033</v>
      </c>
      <c r="F115" s="11">
        <f>SUM(F116:F118)</f>
        <v>53</v>
      </c>
    </row>
    <row r="116" spans="1:6" x14ac:dyDescent="0.2">
      <c r="A116"/>
      <c r="B116" t="s">
        <v>146</v>
      </c>
      <c r="C116" s="11">
        <v>151</v>
      </c>
      <c r="D116" s="11">
        <v>6237077</v>
      </c>
      <c r="E116" s="11">
        <f t="shared" si="1"/>
        <v>3442.0954746136867</v>
      </c>
      <c r="F116" s="11">
        <v>12</v>
      </c>
    </row>
    <row r="117" spans="1:6" x14ac:dyDescent="0.2">
      <c r="A117"/>
      <c r="B117" t="s">
        <v>147</v>
      </c>
      <c r="C117" s="11">
        <v>2003</v>
      </c>
      <c r="D117" s="11">
        <v>140382604</v>
      </c>
      <c r="E117" s="11">
        <f t="shared" si="1"/>
        <v>5840.5143950740558</v>
      </c>
      <c r="F117" s="11">
        <v>19</v>
      </c>
    </row>
    <row r="118" spans="1:6" x14ac:dyDescent="0.2">
      <c r="A118"/>
      <c r="B118" t="s">
        <v>397</v>
      </c>
      <c r="C118" s="11">
        <f>411+139+901</f>
        <v>1451</v>
      </c>
      <c r="D118" s="11">
        <f>32310558+8031186+41626082</f>
        <v>81967826</v>
      </c>
      <c r="E118" s="11">
        <f t="shared" si="1"/>
        <v>4707.5480128646914</v>
      </c>
      <c r="F118" s="11">
        <f>2+2+18</f>
        <v>22</v>
      </c>
    </row>
    <row r="119" spans="1:6" x14ac:dyDescent="0.2">
      <c r="A119"/>
      <c r="B119" t="s">
        <v>148</v>
      </c>
      <c r="C119" s="11">
        <f>SUM(C120:C127)</f>
        <v>11168</v>
      </c>
      <c r="D119" s="11">
        <f>+D120+D121+D122+D123+D124+D125+D126+D127</f>
        <v>490773263</v>
      </c>
      <c r="E119" s="11">
        <f t="shared" si="1"/>
        <v>3662.0497776384909</v>
      </c>
      <c r="F119" s="11">
        <f>+F120+F121+F122+F123+F124+F125+F126+F127</f>
        <v>613</v>
      </c>
    </row>
    <row r="120" spans="1:6" x14ac:dyDescent="0.2">
      <c r="A120"/>
      <c r="B120" t="s">
        <v>62</v>
      </c>
      <c r="C120" s="11">
        <v>157</v>
      </c>
      <c r="D120" s="11">
        <v>5327053</v>
      </c>
      <c r="E120" s="11">
        <f t="shared" si="1"/>
        <v>2827.522823779193</v>
      </c>
      <c r="F120" s="11">
        <v>13</v>
      </c>
    </row>
    <row r="121" spans="1:6" x14ac:dyDescent="0.2">
      <c r="A121"/>
      <c r="B121" t="s">
        <v>78</v>
      </c>
      <c r="C121" s="11">
        <v>89</v>
      </c>
      <c r="D121" s="11">
        <v>3216637</v>
      </c>
      <c r="E121" s="11">
        <f t="shared" si="1"/>
        <v>3011.8323970037454</v>
      </c>
      <c r="F121" s="11">
        <v>8</v>
      </c>
    </row>
    <row r="122" spans="1:6" x14ac:dyDescent="0.2">
      <c r="A122"/>
      <c r="B122" t="s">
        <v>63</v>
      </c>
      <c r="C122" s="11">
        <v>5604</v>
      </c>
      <c r="D122" s="11">
        <v>251498228</v>
      </c>
      <c r="E122" s="11">
        <f t="shared" si="1"/>
        <v>3739.8618248869857</v>
      </c>
      <c r="F122" s="11">
        <v>219</v>
      </c>
    </row>
    <row r="123" spans="1:6" x14ac:dyDescent="0.2">
      <c r="A123"/>
      <c r="B123" t="s">
        <v>149</v>
      </c>
      <c r="C123" s="11">
        <v>466</v>
      </c>
      <c r="D123" s="11">
        <v>21475727</v>
      </c>
      <c r="E123" s="11">
        <f t="shared" si="1"/>
        <v>3840.4375894134478</v>
      </c>
      <c r="F123" s="11">
        <v>14</v>
      </c>
    </row>
    <row r="124" spans="1:6" x14ac:dyDescent="0.2">
      <c r="A124"/>
      <c r="B124" t="s">
        <v>150</v>
      </c>
      <c r="C124" s="11">
        <v>74</v>
      </c>
      <c r="D124" s="11">
        <v>3445166</v>
      </c>
      <c r="E124" s="11">
        <f t="shared" si="1"/>
        <v>3879.6914414414418</v>
      </c>
      <c r="F124" s="11">
        <v>7</v>
      </c>
    </row>
    <row r="125" spans="1:6" x14ac:dyDescent="0.2">
      <c r="A125"/>
      <c r="B125" t="s">
        <v>151</v>
      </c>
      <c r="C125" s="11">
        <v>1944</v>
      </c>
      <c r="D125" s="11">
        <v>81505371</v>
      </c>
      <c r="E125" s="11">
        <f t="shared" si="1"/>
        <v>3493.885931069959</v>
      </c>
      <c r="F125" s="11">
        <v>209</v>
      </c>
    </row>
    <row r="126" spans="1:6" x14ac:dyDescent="0.2">
      <c r="A126"/>
      <c r="B126" t="s">
        <v>152</v>
      </c>
      <c r="C126" s="11">
        <v>835</v>
      </c>
      <c r="D126" s="11">
        <v>27899550</v>
      </c>
      <c r="E126" s="11">
        <f t="shared" si="1"/>
        <v>2784.3862275449101</v>
      </c>
      <c r="F126" s="11">
        <v>54</v>
      </c>
    </row>
    <row r="127" spans="1:6" x14ac:dyDescent="0.2">
      <c r="A127"/>
      <c r="B127" t="s">
        <v>413</v>
      </c>
      <c r="C127" s="11">
        <f>1955+44</f>
        <v>1999</v>
      </c>
      <c r="D127" s="11">
        <f>94917480+1488051</f>
        <v>96405531</v>
      </c>
      <c r="E127" s="11">
        <f t="shared" si="1"/>
        <v>4018.9065782891448</v>
      </c>
      <c r="F127" s="11">
        <f>86+3</f>
        <v>89</v>
      </c>
    </row>
    <row r="129" spans="1:6" x14ac:dyDescent="0.2">
      <c r="B129" s="17" t="s">
        <v>422</v>
      </c>
    </row>
    <row r="130" spans="1:6" x14ac:dyDescent="0.2">
      <c r="B130" s="2"/>
      <c r="C130" s="2"/>
      <c r="D130" s="2"/>
      <c r="E130" s="2"/>
      <c r="F130" s="2"/>
    </row>
    <row r="131" spans="1:6" x14ac:dyDescent="0.2">
      <c r="B131" s="2"/>
      <c r="C131" s="2"/>
      <c r="D131" s="2"/>
      <c r="E131" s="2"/>
      <c r="F131" s="2"/>
    </row>
    <row r="132" spans="1:6" x14ac:dyDescent="0.2">
      <c r="B132" s="2"/>
      <c r="C132" s="2"/>
      <c r="D132" s="2"/>
      <c r="E132" s="2"/>
      <c r="F132" s="2"/>
    </row>
    <row r="133" spans="1:6" x14ac:dyDescent="0.2">
      <c r="B133" s="2"/>
      <c r="C133" s="2"/>
      <c r="D133" s="2"/>
      <c r="E133" s="2"/>
      <c r="F133" s="2"/>
    </row>
    <row r="135" spans="1:6" x14ac:dyDescent="0.2">
      <c r="C135" s="3" t="s">
        <v>82</v>
      </c>
      <c r="D135" s="3"/>
      <c r="E135" s="3" t="s">
        <v>82</v>
      </c>
      <c r="F135" s="3"/>
    </row>
    <row r="136" spans="1:6" x14ac:dyDescent="0.2">
      <c r="C136" s="3" t="s">
        <v>83</v>
      </c>
      <c r="D136" s="3"/>
      <c r="E136" s="3" t="s">
        <v>85</v>
      </c>
      <c r="F136" s="3" t="s">
        <v>86</v>
      </c>
    </row>
    <row r="137" spans="1:6" x14ac:dyDescent="0.2">
      <c r="C137" s="3" t="s">
        <v>84</v>
      </c>
      <c r="D137" s="3" t="s">
        <v>88</v>
      </c>
      <c r="E137" s="3" t="s">
        <v>89</v>
      </c>
      <c r="F137" s="3" t="s">
        <v>87</v>
      </c>
    </row>
    <row r="138" spans="1:6" x14ac:dyDescent="0.2">
      <c r="A138"/>
      <c r="C138" s="11"/>
      <c r="D138" s="11"/>
      <c r="E138" s="11"/>
      <c r="F138" s="11"/>
    </row>
    <row r="139" spans="1:6" x14ac:dyDescent="0.2">
      <c r="A139"/>
      <c r="B139" t="s">
        <v>153</v>
      </c>
      <c r="C139" s="11">
        <f>SUM(C140:C146)</f>
        <v>5287</v>
      </c>
      <c r="D139" s="11">
        <f>+D140+D141+D142+D143+D144+D145+D146</f>
        <v>282349147</v>
      </c>
      <c r="E139" s="11">
        <f t="shared" ref="E139:E145" si="3">(D139/C139)/12</f>
        <v>4450.3679938213227</v>
      </c>
      <c r="F139" s="11">
        <f>+F140+F141+F142+F143+F144+F145+F146</f>
        <v>205</v>
      </c>
    </row>
    <row r="140" spans="1:6" x14ac:dyDescent="0.2">
      <c r="A140"/>
      <c r="B140" t="s">
        <v>154</v>
      </c>
      <c r="C140" s="11">
        <v>854</v>
      </c>
      <c r="D140" s="11">
        <v>57179518</v>
      </c>
      <c r="E140" s="11">
        <f t="shared" si="3"/>
        <v>5579.5782591725219</v>
      </c>
      <c r="F140" s="11">
        <v>28</v>
      </c>
    </row>
    <row r="141" spans="1:6" x14ac:dyDescent="0.2">
      <c r="A141"/>
      <c r="B141" t="s">
        <v>155</v>
      </c>
      <c r="C141" s="11">
        <v>248</v>
      </c>
      <c r="D141" s="11">
        <v>11233757</v>
      </c>
      <c r="E141" s="11">
        <f t="shared" si="3"/>
        <v>3774.7839381720428</v>
      </c>
      <c r="F141" s="11">
        <v>29</v>
      </c>
    </row>
    <row r="142" spans="1:6" x14ac:dyDescent="0.2">
      <c r="A142"/>
      <c r="B142" t="s">
        <v>156</v>
      </c>
      <c r="C142" s="11">
        <v>768</v>
      </c>
      <c r="D142" s="11">
        <v>41811699</v>
      </c>
      <c r="E142" s="11">
        <f t="shared" si="3"/>
        <v>4536.859700520833</v>
      </c>
      <c r="F142" s="11">
        <v>24</v>
      </c>
    </row>
    <row r="143" spans="1:6" x14ac:dyDescent="0.2">
      <c r="A143"/>
      <c r="B143" t="s">
        <v>157</v>
      </c>
      <c r="C143" s="11">
        <v>546</v>
      </c>
      <c r="D143" s="11">
        <v>21045977</v>
      </c>
      <c r="E143" s="11">
        <f t="shared" si="3"/>
        <v>3212.1454517704515</v>
      </c>
      <c r="F143" s="11">
        <v>15</v>
      </c>
    </row>
    <row r="144" spans="1:6" x14ac:dyDescent="0.2">
      <c r="A144"/>
      <c r="B144" t="s">
        <v>158</v>
      </c>
      <c r="C144" s="11">
        <v>756</v>
      </c>
      <c r="D144" s="11">
        <v>28787853</v>
      </c>
      <c r="E144" s="11">
        <f t="shared" si="3"/>
        <v>3173.2642195767198</v>
      </c>
      <c r="F144" s="11">
        <v>50</v>
      </c>
    </row>
    <row r="145" spans="1:6" x14ac:dyDescent="0.2">
      <c r="A145"/>
      <c r="B145" t="s">
        <v>159</v>
      </c>
      <c r="C145" s="11">
        <v>351</v>
      </c>
      <c r="D145" s="11">
        <v>14328637</v>
      </c>
      <c r="E145" s="11">
        <f t="shared" si="3"/>
        <v>3401.860636277303</v>
      </c>
      <c r="F145" s="11">
        <v>10</v>
      </c>
    </row>
    <row r="146" spans="1:6" x14ac:dyDescent="0.2">
      <c r="A146"/>
      <c r="B146" t="s">
        <v>160</v>
      </c>
      <c r="C146" s="11">
        <v>1764</v>
      </c>
      <c r="D146" s="11">
        <v>107961706</v>
      </c>
      <c r="E146" s="11">
        <f t="shared" si="1"/>
        <v>5100.2317649281931</v>
      </c>
      <c r="F146" s="11">
        <v>49</v>
      </c>
    </row>
    <row r="147" spans="1:6" x14ac:dyDescent="0.2">
      <c r="A147"/>
      <c r="B147" t="s">
        <v>161</v>
      </c>
      <c r="C147" s="11">
        <f>SUM(C148:C153)</f>
        <v>13222</v>
      </c>
      <c r="D147" s="11">
        <f>+D148+D149+D150+D151+D152+D153</f>
        <v>923979261</v>
      </c>
      <c r="E147" s="11">
        <f t="shared" si="1"/>
        <v>5823.4965776735744</v>
      </c>
      <c r="F147" s="11">
        <f>+F148+F149+F150+F151+F152+F153</f>
        <v>211</v>
      </c>
    </row>
    <row r="148" spans="1:6" x14ac:dyDescent="0.2">
      <c r="A148"/>
      <c r="B148" t="s">
        <v>162</v>
      </c>
      <c r="C148" s="11">
        <v>535</v>
      </c>
      <c r="D148" s="11">
        <v>42631246</v>
      </c>
      <c r="E148" s="11">
        <f t="shared" si="1"/>
        <v>6640.3809968847354</v>
      </c>
      <c r="F148" s="11">
        <v>18</v>
      </c>
    </row>
    <row r="149" spans="1:6" x14ac:dyDescent="0.2">
      <c r="A149"/>
      <c r="B149" t="s">
        <v>163</v>
      </c>
      <c r="C149" s="11">
        <v>729</v>
      </c>
      <c r="D149" s="11">
        <v>41537150</v>
      </c>
      <c r="E149" s="11">
        <f t="shared" si="1"/>
        <v>4748.1881572930952</v>
      </c>
      <c r="F149" s="11">
        <v>29</v>
      </c>
    </row>
    <row r="150" spans="1:6" x14ac:dyDescent="0.2">
      <c r="A150"/>
      <c r="B150" t="s">
        <v>164</v>
      </c>
      <c r="C150" s="11">
        <v>500</v>
      </c>
      <c r="D150" s="11">
        <v>43626914</v>
      </c>
      <c r="E150" s="11">
        <f t="shared" si="1"/>
        <v>7271.1523333333325</v>
      </c>
      <c r="F150" s="11">
        <v>15</v>
      </c>
    </row>
    <row r="151" spans="1:6" x14ac:dyDescent="0.2">
      <c r="A151"/>
      <c r="B151" t="s">
        <v>165</v>
      </c>
      <c r="C151" s="11">
        <v>3866</v>
      </c>
      <c r="D151" s="11">
        <v>233212991</v>
      </c>
      <c r="E151" s="11">
        <f t="shared" si="1"/>
        <v>5027.0087730643218</v>
      </c>
      <c r="F151" s="11">
        <v>62</v>
      </c>
    </row>
    <row r="152" spans="1:6" x14ac:dyDescent="0.2">
      <c r="A152"/>
      <c r="B152" t="s">
        <v>166</v>
      </c>
      <c r="C152" s="11">
        <v>6940</v>
      </c>
      <c r="D152" s="11">
        <v>533236707</v>
      </c>
      <c r="E152" s="11">
        <f t="shared" si="1"/>
        <v>6402.9383645533135</v>
      </c>
      <c r="F152" s="11">
        <v>66</v>
      </c>
    </row>
    <row r="153" spans="1:6" x14ac:dyDescent="0.2">
      <c r="A153"/>
      <c r="B153" t="s">
        <v>167</v>
      </c>
      <c r="C153" s="11">
        <v>652</v>
      </c>
      <c r="D153" s="11">
        <v>29734253</v>
      </c>
      <c r="E153" s="11">
        <f t="shared" si="1"/>
        <v>3800.3902096114521</v>
      </c>
      <c r="F153" s="11">
        <v>21</v>
      </c>
    </row>
    <row r="154" spans="1:6" x14ac:dyDescent="0.2">
      <c r="A154"/>
      <c r="B154" t="s">
        <v>168</v>
      </c>
      <c r="C154" s="11">
        <f>SUM(C155:C157)</f>
        <v>1288</v>
      </c>
      <c r="D154" s="11">
        <f>+D155+D156+D157</f>
        <v>74160390</v>
      </c>
      <c r="E154" s="11">
        <f t="shared" si="1"/>
        <v>4798.1618788819878</v>
      </c>
      <c r="F154" s="11">
        <f>+F155+F156+F157</f>
        <v>55</v>
      </c>
    </row>
    <row r="155" spans="1:6" x14ac:dyDescent="0.2">
      <c r="A155"/>
      <c r="B155" t="s">
        <v>169</v>
      </c>
      <c r="C155" s="11">
        <v>39</v>
      </c>
      <c r="D155" s="11">
        <v>1469136</v>
      </c>
      <c r="E155" s="11">
        <f t="shared" si="1"/>
        <v>3139.1794871794868</v>
      </c>
      <c r="F155" s="11">
        <v>8</v>
      </c>
    </row>
    <row r="156" spans="1:6" x14ac:dyDescent="0.2">
      <c r="A156"/>
      <c r="B156" t="s">
        <v>170</v>
      </c>
      <c r="C156" s="11">
        <v>174</v>
      </c>
      <c r="D156" s="11">
        <v>12623681</v>
      </c>
      <c r="E156" s="11">
        <f t="shared" si="1"/>
        <v>6045.8242337164747</v>
      </c>
      <c r="F156" s="11">
        <v>17</v>
      </c>
    </row>
    <row r="157" spans="1:6" x14ac:dyDescent="0.2">
      <c r="A157"/>
      <c r="B157" t="s">
        <v>414</v>
      </c>
      <c r="C157" s="11">
        <f>224+851</f>
        <v>1075</v>
      </c>
      <c r="D157" s="11">
        <f>49268000+10799573</f>
        <v>60067573</v>
      </c>
      <c r="E157" s="11">
        <f t="shared" si="1"/>
        <v>4656.4010077519379</v>
      </c>
      <c r="F157" s="11">
        <f>4+26</f>
        <v>30</v>
      </c>
    </row>
    <row r="158" spans="1:6" x14ac:dyDescent="0.2">
      <c r="A158"/>
      <c r="B158" t="s">
        <v>171</v>
      </c>
      <c r="C158" s="11">
        <f>SUM(C159:C162)</f>
        <v>11051</v>
      </c>
      <c r="D158" s="11">
        <f>+D159+D160+D161+D162</f>
        <v>739758204</v>
      </c>
      <c r="E158" s="11">
        <f t="shared" ref="E158:E249" si="4">(D158/C158)/12</f>
        <v>5578.365487286218</v>
      </c>
      <c r="F158" s="11">
        <f>+F159+F160+F161+F162</f>
        <v>147</v>
      </c>
    </row>
    <row r="159" spans="1:6" x14ac:dyDescent="0.2">
      <c r="A159"/>
      <c r="B159" t="s">
        <v>172</v>
      </c>
      <c r="C159" s="11">
        <v>954</v>
      </c>
      <c r="D159" s="11">
        <v>34670884</v>
      </c>
      <c r="E159" s="11">
        <f t="shared" si="4"/>
        <v>3028.5538085255066</v>
      </c>
      <c r="F159" s="11">
        <v>17</v>
      </c>
    </row>
    <row r="160" spans="1:6" x14ac:dyDescent="0.2">
      <c r="A160"/>
      <c r="B160" t="s">
        <v>173</v>
      </c>
      <c r="C160" s="11">
        <v>3402</v>
      </c>
      <c r="D160" s="11">
        <v>173840267</v>
      </c>
      <c r="E160" s="11">
        <f t="shared" si="4"/>
        <v>4258.2859837350579</v>
      </c>
      <c r="F160" s="11">
        <v>56</v>
      </c>
    </row>
    <row r="161" spans="1:6" x14ac:dyDescent="0.2">
      <c r="A161"/>
      <c r="B161" t="s">
        <v>174</v>
      </c>
      <c r="C161" s="11">
        <v>6640</v>
      </c>
      <c r="D161" s="11">
        <v>529376516</v>
      </c>
      <c r="E161" s="11">
        <f t="shared" si="4"/>
        <v>6643.7815763052204</v>
      </c>
      <c r="F161" s="11">
        <v>56</v>
      </c>
    </row>
    <row r="162" spans="1:6" x14ac:dyDescent="0.2">
      <c r="A162"/>
      <c r="B162" t="s">
        <v>329</v>
      </c>
      <c r="C162" s="11">
        <f>1+11+2+41</f>
        <v>55</v>
      </c>
      <c r="D162" s="11">
        <f>67034+386321+1375421+41761</f>
        <v>1870537</v>
      </c>
      <c r="E162" s="11">
        <f t="shared" si="4"/>
        <v>2834.1469696969693</v>
      </c>
      <c r="F162" s="11">
        <f>1+2+1+14</f>
        <v>18</v>
      </c>
    </row>
    <row r="163" spans="1:6" x14ac:dyDescent="0.2">
      <c r="A163"/>
      <c r="B163" t="s">
        <v>175</v>
      </c>
      <c r="C163" s="11">
        <f>SUM(C164:C166)</f>
        <v>4781</v>
      </c>
      <c r="D163" s="11">
        <f>+D164+D165+D166</f>
        <v>162264840</v>
      </c>
      <c r="E163" s="11">
        <f t="shared" si="4"/>
        <v>2828.2932440911941</v>
      </c>
      <c r="F163" s="11">
        <f>+F164+F165+F166</f>
        <v>365</v>
      </c>
    </row>
    <row r="164" spans="1:6" x14ac:dyDescent="0.2">
      <c r="A164"/>
      <c r="B164" t="s">
        <v>176</v>
      </c>
      <c r="C164" s="11">
        <v>2813</v>
      </c>
      <c r="D164" s="11">
        <v>88411638</v>
      </c>
      <c r="E164" s="11">
        <f t="shared" si="4"/>
        <v>2619.1384642730181</v>
      </c>
      <c r="F164" s="11">
        <v>297</v>
      </c>
    </row>
    <row r="165" spans="1:6" x14ac:dyDescent="0.2">
      <c r="A165"/>
      <c r="B165" t="s">
        <v>177</v>
      </c>
      <c r="C165" s="11">
        <v>748</v>
      </c>
      <c r="D165" s="11">
        <v>33069391</v>
      </c>
      <c r="E165" s="11">
        <f t="shared" si="4"/>
        <v>3684.2013146167556</v>
      </c>
      <c r="F165" s="11">
        <v>48</v>
      </c>
    </row>
    <row r="166" spans="1:6" x14ac:dyDescent="0.2">
      <c r="A166"/>
      <c r="B166" t="s">
        <v>178</v>
      </c>
      <c r="C166" s="11">
        <v>1220</v>
      </c>
      <c r="D166" s="11">
        <v>40783811</v>
      </c>
      <c r="E166" s="11">
        <f t="shared" si="4"/>
        <v>2785.7794398907104</v>
      </c>
      <c r="F166" s="11">
        <v>20</v>
      </c>
    </row>
    <row r="167" spans="1:6" x14ac:dyDescent="0.2">
      <c r="A167"/>
      <c r="B167" t="s">
        <v>179</v>
      </c>
      <c r="C167" s="11">
        <f>SUM(C168:C169)</f>
        <v>14946</v>
      </c>
      <c r="D167" s="11">
        <f>+D168+D169</f>
        <v>645863225</v>
      </c>
      <c r="E167" s="11">
        <f t="shared" si="4"/>
        <v>3601.0929624425712</v>
      </c>
      <c r="F167" s="11">
        <f>+F168+F169</f>
        <v>454</v>
      </c>
    </row>
    <row r="168" spans="1:6" x14ac:dyDescent="0.2">
      <c r="A168"/>
      <c r="B168" t="s">
        <v>180</v>
      </c>
      <c r="C168" s="11">
        <v>7833</v>
      </c>
      <c r="D168" s="11">
        <v>382398571</v>
      </c>
      <c r="E168" s="11">
        <f t="shared" si="4"/>
        <v>4068.2430209796162</v>
      </c>
      <c r="F168" s="11">
        <v>225</v>
      </c>
    </row>
    <row r="169" spans="1:6" x14ac:dyDescent="0.2">
      <c r="A169"/>
      <c r="B169" t="s">
        <v>181</v>
      </c>
      <c r="C169" s="11">
        <f>7117-4</f>
        <v>7113</v>
      </c>
      <c r="D169" s="11">
        <f>263265022+199632</f>
        <v>263464654</v>
      </c>
      <c r="E169" s="11">
        <f t="shared" si="4"/>
        <v>3086.6565209241294</v>
      </c>
      <c r="F169" s="11">
        <f>252-23</f>
        <v>229</v>
      </c>
    </row>
    <row r="170" spans="1:6" x14ac:dyDescent="0.2">
      <c r="A170"/>
      <c r="C170" s="11"/>
      <c r="D170" s="11"/>
      <c r="E170" s="11"/>
      <c r="F170" s="11"/>
    </row>
    <row r="172" spans="1:6" x14ac:dyDescent="0.2">
      <c r="B172" s="17" t="s">
        <v>422</v>
      </c>
    </row>
    <row r="173" spans="1:6" x14ac:dyDescent="0.2">
      <c r="B173" s="2"/>
      <c r="C173" s="2"/>
      <c r="D173" s="2"/>
      <c r="E173" s="2"/>
      <c r="F173" s="2"/>
    </row>
    <row r="174" spans="1:6" x14ac:dyDescent="0.2">
      <c r="B174" s="2"/>
      <c r="C174" s="2"/>
      <c r="D174" s="2"/>
      <c r="E174" s="2"/>
      <c r="F174" s="2"/>
    </row>
    <row r="175" spans="1:6" x14ac:dyDescent="0.2">
      <c r="B175" s="2"/>
      <c r="C175" s="2"/>
      <c r="D175" s="2"/>
      <c r="E175" s="2"/>
      <c r="F175" s="2"/>
    </row>
    <row r="176" spans="1:6" x14ac:dyDescent="0.2">
      <c r="B176" s="2"/>
      <c r="C176" s="2"/>
      <c r="D176" s="2"/>
      <c r="E176" s="2"/>
      <c r="F176" s="2"/>
    </row>
    <row r="178" spans="1:11" x14ac:dyDescent="0.2">
      <c r="C178" s="3" t="s">
        <v>82</v>
      </c>
      <c r="D178" s="3"/>
      <c r="E178" s="3" t="s">
        <v>82</v>
      </c>
      <c r="F178" s="3"/>
    </row>
    <row r="179" spans="1:11" x14ac:dyDescent="0.2">
      <c r="C179" s="3" t="s">
        <v>83</v>
      </c>
      <c r="D179" s="3"/>
      <c r="E179" s="3" t="s">
        <v>85</v>
      </c>
      <c r="F179" s="3" t="s">
        <v>86</v>
      </c>
    </row>
    <row r="180" spans="1:11" x14ac:dyDescent="0.2">
      <c r="C180" s="3" t="s">
        <v>84</v>
      </c>
      <c r="D180" s="3" t="s">
        <v>88</v>
      </c>
      <c r="E180" s="3" t="s">
        <v>89</v>
      </c>
      <c r="F180" s="3" t="s">
        <v>87</v>
      </c>
    </row>
    <row r="181" spans="1:11" x14ac:dyDescent="0.2">
      <c r="A181"/>
      <c r="C181" s="11"/>
      <c r="D181" s="11"/>
      <c r="E181" s="11"/>
      <c r="F181" s="11"/>
    </row>
    <row r="182" spans="1:11" x14ac:dyDescent="0.2">
      <c r="A182" s="3"/>
      <c r="B182" s="2" t="s">
        <v>360</v>
      </c>
      <c r="C182" s="10">
        <f>+C183+C193+C203</f>
        <v>44065</v>
      </c>
      <c r="D182" s="10">
        <f>+D183+D193+D203</f>
        <v>2399683078</v>
      </c>
      <c r="E182" s="10">
        <f t="shared" ref="E182:E190" si="5">(D182/C182)/12</f>
        <v>4538.1502288286247</v>
      </c>
      <c r="F182" s="10">
        <f>+F183+F193+F203</f>
        <v>5682</v>
      </c>
      <c r="H182" s="5"/>
      <c r="I182" s="4"/>
      <c r="J182" s="4"/>
      <c r="K182" s="4"/>
    </row>
    <row r="183" spans="1:11" x14ac:dyDescent="0.2">
      <c r="A183"/>
      <c r="B183" t="s">
        <v>213</v>
      </c>
      <c r="C183" s="11">
        <f>SUM(C184:C192)</f>
        <v>22289</v>
      </c>
      <c r="D183" s="11">
        <f>SUM(D184:D192)</f>
        <v>1171335582</v>
      </c>
      <c r="E183" s="11">
        <f t="shared" si="5"/>
        <v>4379.3484902866885</v>
      </c>
      <c r="F183" s="11">
        <f>SUM(F184:F192)</f>
        <v>2825</v>
      </c>
      <c r="H183" s="5"/>
      <c r="I183" s="4"/>
      <c r="J183" s="4"/>
      <c r="K183" s="4"/>
    </row>
    <row r="184" spans="1:11" x14ac:dyDescent="0.2">
      <c r="A184"/>
      <c r="B184" t="s">
        <v>214</v>
      </c>
      <c r="C184" s="11">
        <v>2473</v>
      </c>
      <c r="D184" s="11">
        <v>98900314</v>
      </c>
      <c r="E184" s="11">
        <f t="shared" si="5"/>
        <v>3332.6699689985176</v>
      </c>
      <c r="F184" s="11">
        <v>217</v>
      </c>
      <c r="H184" s="5"/>
      <c r="I184" s="4"/>
      <c r="J184" s="4"/>
      <c r="K184" s="4"/>
    </row>
    <row r="185" spans="1:11" x14ac:dyDescent="0.2">
      <c r="A185"/>
      <c r="B185" t="s">
        <v>215</v>
      </c>
      <c r="C185" s="11">
        <v>411</v>
      </c>
      <c r="D185" s="11">
        <v>15991565</v>
      </c>
      <c r="E185" s="11">
        <f t="shared" si="5"/>
        <v>3242.4097729115979</v>
      </c>
      <c r="F185" s="11">
        <v>101</v>
      </c>
      <c r="H185" s="5"/>
      <c r="I185" s="4"/>
      <c r="J185" s="4"/>
      <c r="K185" s="4"/>
    </row>
    <row r="186" spans="1:11" x14ac:dyDescent="0.2">
      <c r="A186"/>
      <c r="B186" t="s">
        <v>216</v>
      </c>
      <c r="C186" s="11">
        <v>1738</v>
      </c>
      <c r="D186" s="11">
        <v>75976624</v>
      </c>
      <c r="E186" s="11">
        <f t="shared" si="5"/>
        <v>3642.9144610663602</v>
      </c>
      <c r="F186" s="11">
        <v>240</v>
      </c>
      <c r="H186" s="5"/>
      <c r="I186" s="4"/>
      <c r="J186" s="4"/>
      <c r="K186" s="4"/>
    </row>
    <row r="187" spans="1:11" x14ac:dyDescent="0.2">
      <c r="A187"/>
      <c r="B187" t="s">
        <v>217</v>
      </c>
      <c r="C187" s="11">
        <v>4376</v>
      </c>
      <c r="D187" s="11">
        <v>306581722</v>
      </c>
      <c r="E187" s="11">
        <f t="shared" si="5"/>
        <v>5838.3173750761734</v>
      </c>
      <c r="F187" s="11">
        <v>707</v>
      </c>
    </row>
    <row r="188" spans="1:11" x14ac:dyDescent="0.2">
      <c r="A188"/>
      <c r="B188" t="s">
        <v>218</v>
      </c>
      <c r="C188" s="11">
        <v>1029</v>
      </c>
      <c r="D188" s="11">
        <v>57552653</v>
      </c>
      <c r="E188" s="11">
        <f t="shared" si="5"/>
        <v>4660.888645934564</v>
      </c>
      <c r="F188" s="11">
        <v>76</v>
      </c>
      <c r="H188" s="5"/>
      <c r="I188" s="4"/>
      <c r="J188" s="4"/>
      <c r="K188" s="4"/>
    </row>
    <row r="189" spans="1:11" x14ac:dyDescent="0.2">
      <c r="A189"/>
      <c r="B189" t="s">
        <v>219</v>
      </c>
      <c r="C189" s="11">
        <v>1932</v>
      </c>
      <c r="D189" s="11">
        <v>110105799</v>
      </c>
      <c r="E189" s="11">
        <f t="shared" si="5"/>
        <v>4749.2149327122152</v>
      </c>
      <c r="F189" s="11">
        <v>307</v>
      </c>
      <c r="H189" s="5"/>
      <c r="I189" s="4"/>
      <c r="J189" s="4"/>
      <c r="K189" s="4"/>
    </row>
    <row r="190" spans="1:11" x14ac:dyDescent="0.2">
      <c r="A190"/>
      <c r="B190" t="s">
        <v>220</v>
      </c>
      <c r="C190" s="11">
        <v>1760</v>
      </c>
      <c r="D190" s="11">
        <v>85811674</v>
      </c>
      <c r="E190" s="11">
        <f t="shared" si="5"/>
        <v>4063.0527462121213</v>
      </c>
      <c r="F190" s="11">
        <v>216</v>
      </c>
    </row>
    <row r="191" spans="1:11" x14ac:dyDescent="0.2">
      <c r="A191"/>
      <c r="B191" t="s">
        <v>221</v>
      </c>
      <c r="C191" s="11">
        <v>5281</v>
      </c>
      <c r="D191" s="11">
        <v>280183307</v>
      </c>
      <c r="E191" s="11">
        <f t="shared" ref="E191:E193" si="6">(D191/C191)/12</f>
        <v>4421.2476645837278</v>
      </c>
      <c r="F191" s="11">
        <v>587</v>
      </c>
    </row>
    <row r="192" spans="1:11" x14ac:dyDescent="0.2">
      <c r="A192"/>
      <c r="B192" t="s">
        <v>222</v>
      </c>
      <c r="C192" s="11">
        <v>3289</v>
      </c>
      <c r="D192" s="11">
        <v>140231924</v>
      </c>
      <c r="E192" s="11">
        <f t="shared" si="6"/>
        <v>3553.0537144015402</v>
      </c>
      <c r="F192" s="11">
        <v>374</v>
      </c>
    </row>
    <row r="193" spans="1:12" x14ac:dyDescent="0.2">
      <c r="A193"/>
      <c r="B193" t="s">
        <v>223</v>
      </c>
      <c r="C193" s="11">
        <f>SUM(C194:C202)</f>
        <v>13925</v>
      </c>
      <c r="D193" s="11">
        <f>SUM(D194:D202)</f>
        <v>676384126</v>
      </c>
      <c r="E193" s="11">
        <f t="shared" si="6"/>
        <v>4047.7805266307601</v>
      </c>
      <c r="F193" s="11">
        <f>SUM(F194:F202)</f>
        <v>1202</v>
      </c>
    </row>
    <row r="194" spans="1:12" x14ac:dyDescent="0.2">
      <c r="A194"/>
      <c r="B194" t="s">
        <v>376</v>
      </c>
      <c r="C194" s="11">
        <v>1044</v>
      </c>
      <c r="D194" s="11">
        <v>41858629</v>
      </c>
      <c r="E194" s="11">
        <f>D194/C194/12</f>
        <v>3341.2060185185182</v>
      </c>
      <c r="F194" s="11">
        <v>102</v>
      </c>
    </row>
    <row r="195" spans="1:12" x14ac:dyDescent="0.2">
      <c r="A195"/>
      <c r="B195" t="s">
        <v>224</v>
      </c>
      <c r="C195" s="11">
        <v>2547</v>
      </c>
      <c r="D195" s="11">
        <v>189604336</v>
      </c>
      <c r="E195" s="11">
        <f>D195/C195/12</f>
        <v>6203.5183876455958</v>
      </c>
      <c r="F195" s="11">
        <v>194</v>
      </c>
    </row>
    <row r="196" spans="1:12" x14ac:dyDescent="0.2">
      <c r="A196"/>
      <c r="B196" t="s">
        <v>225</v>
      </c>
      <c r="C196" s="11">
        <v>331</v>
      </c>
      <c r="D196" s="11">
        <v>10382016</v>
      </c>
      <c r="E196" s="11">
        <f>(D196/C196)/12</f>
        <v>2613.800604229607</v>
      </c>
      <c r="F196" s="11">
        <v>77</v>
      </c>
    </row>
    <row r="197" spans="1:12" x14ac:dyDescent="0.2">
      <c r="A197"/>
      <c r="B197" t="s">
        <v>226</v>
      </c>
      <c r="C197" s="11">
        <v>5454</v>
      </c>
      <c r="D197" s="11">
        <v>231712873</v>
      </c>
      <c r="E197" s="11">
        <f>(D197/C187)/12</f>
        <v>4412.5699459171237</v>
      </c>
      <c r="F197" s="11">
        <v>309</v>
      </c>
    </row>
    <row r="198" spans="1:12" x14ac:dyDescent="0.2">
      <c r="A198"/>
      <c r="B198" t="s">
        <v>227</v>
      </c>
      <c r="C198" s="11">
        <v>205</v>
      </c>
      <c r="D198" s="11">
        <v>5172194</v>
      </c>
      <c r="E198" s="11">
        <f t="shared" ref="E198:E204" si="7">(D198/C198)/12</f>
        <v>2102.5178861788618</v>
      </c>
      <c r="F198" s="11">
        <v>22</v>
      </c>
    </row>
    <row r="199" spans="1:12" x14ac:dyDescent="0.2">
      <c r="A199"/>
      <c r="B199" t="s">
        <v>228</v>
      </c>
      <c r="C199" s="11">
        <v>934</v>
      </c>
      <c r="D199" s="11">
        <v>58357434</v>
      </c>
      <c r="E199" s="11">
        <f t="shared" si="7"/>
        <v>5206.7660599571736</v>
      </c>
      <c r="F199" s="11">
        <v>149</v>
      </c>
    </row>
    <row r="200" spans="1:12" x14ac:dyDescent="0.2">
      <c r="A200"/>
      <c r="B200" t="s">
        <v>229</v>
      </c>
      <c r="C200" s="11">
        <v>668</v>
      </c>
      <c r="D200" s="11">
        <v>39071169</v>
      </c>
      <c r="E200" s="11">
        <f t="shared" si="7"/>
        <v>4874.1478293413174</v>
      </c>
      <c r="F200" s="11">
        <v>71</v>
      </c>
    </row>
    <row r="201" spans="1:12" x14ac:dyDescent="0.2">
      <c r="A201"/>
      <c r="B201" t="s">
        <v>230</v>
      </c>
      <c r="C201" s="11">
        <v>651</v>
      </c>
      <c r="D201" s="11">
        <v>27231408</v>
      </c>
      <c r="E201" s="11">
        <f t="shared" si="7"/>
        <v>3485.8433179723502</v>
      </c>
      <c r="F201" s="11">
        <v>21</v>
      </c>
    </row>
    <row r="202" spans="1:12" x14ac:dyDescent="0.2">
      <c r="A202"/>
      <c r="B202" t="s">
        <v>231</v>
      </c>
      <c r="C202" s="11">
        <v>2091</v>
      </c>
      <c r="D202" s="11">
        <v>72994067</v>
      </c>
      <c r="E202" s="11">
        <f t="shared" si="7"/>
        <v>2909.0573489558424</v>
      </c>
      <c r="F202" s="11">
        <v>257</v>
      </c>
    </row>
    <row r="203" spans="1:12" x14ac:dyDescent="0.2">
      <c r="A203"/>
      <c r="B203" t="s">
        <v>232</v>
      </c>
      <c r="C203" s="11">
        <f>C204</f>
        <v>7851</v>
      </c>
      <c r="D203" s="11">
        <f>D204</f>
        <v>551963370</v>
      </c>
      <c r="E203" s="11">
        <f t="shared" si="7"/>
        <v>5858.7374219844605</v>
      </c>
      <c r="F203" s="11">
        <f>+F204</f>
        <v>1655</v>
      </c>
    </row>
    <row r="204" spans="1:12" x14ac:dyDescent="0.2">
      <c r="A204"/>
      <c r="B204" t="s">
        <v>233</v>
      </c>
      <c r="C204" s="11">
        <f>7828+23</f>
        <v>7851</v>
      </c>
      <c r="D204" s="11">
        <f>551840699+122671</f>
        <v>551963370</v>
      </c>
      <c r="E204" s="11">
        <f t="shared" si="7"/>
        <v>5858.7374219844605</v>
      </c>
      <c r="F204" s="11">
        <f>1776-121</f>
        <v>1655</v>
      </c>
    </row>
    <row r="205" spans="1:12" x14ac:dyDescent="0.2">
      <c r="A205"/>
      <c r="C205" s="11"/>
      <c r="D205" s="11"/>
      <c r="E205" s="11"/>
      <c r="F205" s="11"/>
    </row>
    <row r="206" spans="1:12" x14ac:dyDescent="0.2">
      <c r="A206"/>
      <c r="B206" s="2" t="s">
        <v>361</v>
      </c>
      <c r="C206" s="10">
        <f>+C207+C211+C225+C227+C230+C234+C236+C238+C242+C245+C248+C253</f>
        <v>137924</v>
      </c>
      <c r="D206" s="10">
        <f>+D207+D211+D225+D227+D230+D234+D236+D238+D242+D245+D248+D253</f>
        <v>3583700602</v>
      </c>
      <c r="E206" s="10">
        <f>(D206/C206)/12</f>
        <v>2165.2628754483144</v>
      </c>
      <c r="F206" s="10">
        <f>+F207+F211+F225+F227+F230+F234+F236+F238+F242+F245+F248+F253</f>
        <v>8809</v>
      </c>
      <c r="I206" s="4"/>
      <c r="J206" s="4"/>
      <c r="K206" s="4"/>
      <c r="L206" s="4"/>
    </row>
    <row r="207" spans="1:12" x14ac:dyDescent="0.2">
      <c r="A207"/>
      <c r="B207" t="s">
        <v>64</v>
      </c>
      <c r="C207" s="11">
        <f>SUM(C208:C210)</f>
        <v>15901</v>
      </c>
      <c r="D207" s="11">
        <f>SUM(D208:D210)</f>
        <v>599444406</v>
      </c>
      <c r="E207" s="11">
        <f>(D207/C207)/12</f>
        <v>3141.5445883906673</v>
      </c>
      <c r="F207" s="11">
        <f>SUM(F208:F210)</f>
        <v>1124</v>
      </c>
      <c r="I207" s="4"/>
      <c r="J207" s="4"/>
      <c r="K207" s="4"/>
      <c r="L207" s="4"/>
    </row>
    <row r="208" spans="1:12" x14ac:dyDescent="0.2">
      <c r="A208"/>
      <c r="B208" t="s">
        <v>185</v>
      </c>
      <c r="C208" s="11">
        <v>8767</v>
      </c>
      <c r="D208" s="11">
        <v>372761906</v>
      </c>
      <c r="E208" s="11">
        <f>(D208/C208)/12</f>
        <v>3543.2294019238811</v>
      </c>
      <c r="F208" s="11">
        <v>422</v>
      </c>
      <c r="I208" s="4"/>
      <c r="J208" s="4"/>
      <c r="K208" s="4"/>
      <c r="L208" s="4"/>
    </row>
    <row r="209" spans="1:12" x14ac:dyDescent="0.2">
      <c r="A209"/>
      <c r="B209" t="s">
        <v>186</v>
      </c>
      <c r="C209" s="11">
        <v>1739</v>
      </c>
      <c r="D209" s="11">
        <v>64339696</v>
      </c>
      <c r="E209" s="11">
        <f>(D209/C209)/12</f>
        <v>3083.1750047920264</v>
      </c>
      <c r="F209" s="11">
        <v>169</v>
      </c>
      <c r="I209" s="4"/>
      <c r="J209" s="4"/>
      <c r="K209" s="4"/>
      <c r="L209" s="4"/>
    </row>
    <row r="210" spans="1:12" x14ac:dyDescent="0.2">
      <c r="A210"/>
      <c r="B210" t="s">
        <v>79</v>
      </c>
      <c r="C210" s="11">
        <v>5395</v>
      </c>
      <c r="D210" s="11">
        <v>162342804</v>
      </c>
      <c r="E210" s="11">
        <f>(D210/C210)/12</f>
        <v>2507.612048192771</v>
      </c>
      <c r="F210" s="11">
        <v>533</v>
      </c>
      <c r="I210" s="4"/>
      <c r="J210" s="4"/>
      <c r="K210" s="4"/>
      <c r="L210" s="4"/>
    </row>
    <row r="211" spans="1:12" x14ac:dyDescent="0.2">
      <c r="A211"/>
      <c r="B211" t="s">
        <v>65</v>
      </c>
      <c r="C211" s="11">
        <f>SUM(C212:C213)</f>
        <v>4650</v>
      </c>
      <c r="D211" s="11">
        <f>SUM(D212:D213)</f>
        <v>128179959</v>
      </c>
      <c r="E211" s="12">
        <f t="shared" si="4"/>
        <v>2297.1318817204301</v>
      </c>
      <c r="F211" s="11">
        <f>SUM(F212:F213)</f>
        <v>505</v>
      </c>
    </row>
    <row r="212" spans="1:12" x14ac:dyDescent="0.2">
      <c r="A212" s="3"/>
      <c r="B212" t="s">
        <v>187</v>
      </c>
      <c r="C212" s="12">
        <v>2628</v>
      </c>
      <c r="D212" s="12">
        <v>78721154</v>
      </c>
      <c r="E212" s="12">
        <f t="shared" si="4"/>
        <v>2496.2314180618973</v>
      </c>
      <c r="F212" s="12">
        <v>222</v>
      </c>
    </row>
    <row r="213" spans="1:12" x14ac:dyDescent="0.2">
      <c r="A213"/>
      <c r="B213" t="s">
        <v>188</v>
      </c>
      <c r="C213" s="11">
        <v>2022</v>
      </c>
      <c r="D213" s="11">
        <v>49458805</v>
      </c>
      <c r="E213" s="11">
        <f t="shared" si="4"/>
        <v>2038.3615644576328</v>
      </c>
      <c r="F213" s="11">
        <v>283</v>
      </c>
    </row>
    <row r="215" spans="1:12" x14ac:dyDescent="0.2">
      <c r="B215" s="17" t="s">
        <v>422</v>
      </c>
    </row>
    <row r="216" spans="1:12" x14ac:dyDescent="0.2">
      <c r="B216" s="2"/>
      <c r="C216" s="2"/>
      <c r="D216" s="2"/>
      <c r="E216" s="2"/>
      <c r="F216" s="2"/>
    </row>
    <row r="217" spans="1:12" x14ac:dyDescent="0.2">
      <c r="B217" s="2"/>
      <c r="C217" s="2"/>
      <c r="D217" s="2"/>
      <c r="E217" s="2"/>
      <c r="F217" s="2"/>
    </row>
    <row r="218" spans="1:12" x14ac:dyDescent="0.2">
      <c r="B218" s="2"/>
      <c r="C218" s="2"/>
      <c r="D218" s="2"/>
      <c r="E218" s="2"/>
      <c r="F218" s="2"/>
    </row>
    <row r="219" spans="1:12" x14ac:dyDescent="0.2">
      <c r="B219" s="2"/>
      <c r="C219" s="2"/>
      <c r="D219" s="2"/>
      <c r="E219" s="2"/>
      <c r="F219" s="2"/>
    </row>
    <row r="221" spans="1:12" x14ac:dyDescent="0.2">
      <c r="C221" s="3" t="s">
        <v>82</v>
      </c>
      <c r="D221" s="3"/>
      <c r="E221" s="3" t="s">
        <v>82</v>
      </c>
      <c r="F221" s="3"/>
    </row>
    <row r="222" spans="1:12" x14ac:dyDescent="0.2">
      <c r="C222" s="3" t="s">
        <v>83</v>
      </c>
      <c r="D222" s="3"/>
      <c r="E222" s="3" t="s">
        <v>85</v>
      </c>
      <c r="F222" s="3" t="s">
        <v>86</v>
      </c>
    </row>
    <row r="223" spans="1:12" x14ac:dyDescent="0.2">
      <c r="C223" s="3" t="s">
        <v>84</v>
      </c>
      <c r="D223" s="3" t="s">
        <v>88</v>
      </c>
      <c r="E223" s="3" t="s">
        <v>89</v>
      </c>
      <c r="F223" s="3" t="s">
        <v>87</v>
      </c>
    </row>
    <row r="224" spans="1:12" x14ac:dyDescent="0.2">
      <c r="A224"/>
      <c r="C224" s="11"/>
      <c r="D224" s="11"/>
      <c r="E224" s="11"/>
      <c r="F224" s="14"/>
    </row>
    <row r="225" spans="1:10" x14ac:dyDescent="0.2">
      <c r="A225"/>
      <c r="B225" t="s">
        <v>66</v>
      </c>
      <c r="C225" s="11">
        <f>+C226</f>
        <v>5123</v>
      </c>
      <c r="D225" s="11">
        <f>+D226</f>
        <v>193136743</v>
      </c>
      <c r="E225" s="11">
        <f t="shared" ref="E225:E235" si="8">(D225/C225)/12</f>
        <v>3141.6608595224152</v>
      </c>
      <c r="F225" s="11">
        <f>+F226</f>
        <v>541</v>
      </c>
    </row>
    <row r="226" spans="1:10" x14ac:dyDescent="0.2">
      <c r="A226"/>
      <c r="B226" t="s">
        <v>67</v>
      </c>
      <c r="C226" s="11">
        <v>5123</v>
      </c>
      <c r="D226" s="11">
        <v>193136743</v>
      </c>
      <c r="E226" s="11">
        <f t="shared" si="8"/>
        <v>3141.6608595224152</v>
      </c>
      <c r="F226" s="11">
        <v>541</v>
      </c>
      <c r="J226" s="4"/>
    </row>
    <row r="227" spans="1:10" x14ac:dyDescent="0.2">
      <c r="A227"/>
      <c r="B227" t="s">
        <v>189</v>
      </c>
      <c r="C227" s="11">
        <f>SUM(C228:C229)</f>
        <v>11362</v>
      </c>
      <c r="D227" s="11">
        <f>SUM(D228:D229)</f>
        <v>326060677</v>
      </c>
      <c r="E227" s="11">
        <f t="shared" si="8"/>
        <v>2391.4560009974771</v>
      </c>
      <c r="F227" s="11">
        <f>SUM(F228:F229)</f>
        <v>689</v>
      </c>
    </row>
    <row r="228" spans="1:10" x14ac:dyDescent="0.2">
      <c r="A228"/>
      <c r="B228" t="s">
        <v>190</v>
      </c>
      <c r="C228" s="11">
        <v>9886</v>
      </c>
      <c r="D228" s="11">
        <v>293089900</v>
      </c>
      <c r="E228" s="11">
        <f t="shared" si="8"/>
        <v>2470.5804504686762</v>
      </c>
      <c r="F228" s="11">
        <v>562</v>
      </c>
    </row>
    <row r="229" spans="1:10" x14ac:dyDescent="0.2">
      <c r="A229"/>
      <c r="B229" t="s">
        <v>191</v>
      </c>
      <c r="C229" s="11">
        <v>1476</v>
      </c>
      <c r="D229" s="11">
        <v>32970777</v>
      </c>
      <c r="E229" s="11">
        <f t="shared" si="8"/>
        <v>1861.4937330623306</v>
      </c>
      <c r="F229" s="11">
        <v>127</v>
      </c>
    </row>
    <row r="230" spans="1:10" x14ac:dyDescent="0.2">
      <c r="A230"/>
      <c r="B230" t="s">
        <v>68</v>
      </c>
      <c r="C230" s="11">
        <f>SUM(C231:C233)</f>
        <v>22745</v>
      </c>
      <c r="D230" s="11">
        <f>SUM(D231:D233)</f>
        <v>497704335</v>
      </c>
      <c r="E230" s="11">
        <f t="shared" si="8"/>
        <v>1823.4935700153881</v>
      </c>
      <c r="F230" s="11">
        <f>SUM(F231:F233)</f>
        <v>643</v>
      </c>
    </row>
    <row r="231" spans="1:10" x14ac:dyDescent="0.2">
      <c r="A231"/>
      <c r="B231" t="s">
        <v>192</v>
      </c>
      <c r="C231" s="11">
        <v>19949</v>
      </c>
      <c r="D231" s="11">
        <v>421516411</v>
      </c>
      <c r="E231" s="11">
        <f t="shared" si="8"/>
        <v>1760.8084406904272</v>
      </c>
      <c r="F231" s="11">
        <v>417</v>
      </c>
    </row>
    <row r="232" spans="1:10" x14ac:dyDescent="0.2">
      <c r="A232"/>
      <c r="B232" t="s">
        <v>193</v>
      </c>
      <c r="C232" s="11">
        <v>2734</v>
      </c>
      <c r="D232" s="11">
        <v>74543152</v>
      </c>
      <c r="E232" s="11">
        <f t="shared" si="8"/>
        <v>2272.1029017312853</v>
      </c>
      <c r="F232" s="11">
        <v>211</v>
      </c>
    </row>
    <row r="233" spans="1:10" x14ac:dyDescent="0.2">
      <c r="A233"/>
      <c r="B233" t="s">
        <v>80</v>
      </c>
      <c r="C233" s="11">
        <v>62</v>
      </c>
      <c r="D233" s="11">
        <v>1644772</v>
      </c>
      <c r="E233" s="11">
        <f t="shared" si="8"/>
        <v>2210.7150537634411</v>
      </c>
      <c r="F233" s="11">
        <v>15</v>
      </c>
    </row>
    <row r="234" spans="1:10" x14ac:dyDescent="0.2">
      <c r="A234"/>
      <c r="B234" t="s">
        <v>69</v>
      </c>
      <c r="C234" s="11">
        <f>+C235</f>
        <v>5775</v>
      </c>
      <c r="D234" s="11">
        <f>+D235</f>
        <v>199396689</v>
      </c>
      <c r="E234" s="11">
        <f t="shared" si="8"/>
        <v>2877.2970995670998</v>
      </c>
      <c r="F234" s="11">
        <f>+F235</f>
        <v>633</v>
      </c>
    </row>
    <row r="235" spans="1:10" x14ac:dyDescent="0.2">
      <c r="A235"/>
      <c r="B235" t="s">
        <v>70</v>
      </c>
      <c r="C235" s="11">
        <v>5775</v>
      </c>
      <c r="D235" s="11">
        <v>199396689</v>
      </c>
      <c r="E235" s="11">
        <f t="shared" si="8"/>
        <v>2877.2970995670998</v>
      </c>
      <c r="F235" s="14">
        <v>633</v>
      </c>
    </row>
    <row r="236" spans="1:10" x14ac:dyDescent="0.2">
      <c r="A236"/>
      <c r="B236" t="s">
        <v>194</v>
      </c>
      <c r="C236" s="11">
        <f>+C237</f>
        <v>8751</v>
      </c>
      <c r="D236" s="11">
        <f>+D237</f>
        <v>149096059</v>
      </c>
      <c r="E236" s="11">
        <f t="shared" si="4"/>
        <v>1419.8002037862341</v>
      </c>
      <c r="F236" s="11">
        <f>+F237</f>
        <v>850</v>
      </c>
    </row>
    <row r="237" spans="1:10" x14ac:dyDescent="0.2">
      <c r="A237"/>
      <c r="B237" t="s">
        <v>195</v>
      </c>
      <c r="C237" s="11">
        <v>8751</v>
      </c>
      <c r="D237" s="11">
        <v>149096059</v>
      </c>
      <c r="E237" s="11">
        <f t="shared" si="4"/>
        <v>1419.8002037862341</v>
      </c>
      <c r="F237" s="11">
        <v>850</v>
      </c>
    </row>
    <row r="238" spans="1:10" x14ac:dyDescent="0.2">
      <c r="A238"/>
      <c r="B238" t="s">
        <v>196</v>
      </c>
      <c r="C238" s="11">
        <f>SUM(C239:C241)</f>
        <v>10625</v>
      </c>
      <c r="D238" s="11">
        <f>SUM(D239:D241)</f>
        <v>169588266</v>
      </c>
      <c r="E238" s="11">
        <f t="shared" si="4"/>
        <v>1330.1040470588234</v>
      </c>
      <c r="F238" s="11">
        <f>SUM(F239:F241)</f>
        <v>1035</v>
      </c>
    </row>
    <row r="239" spans="1:10" x14ac:dyDescent="0.2">
      <c r="A239"/>
      <c r="B239" t="s">
        <v>197</v>
      </c>
      <c r="C239" s="11">
        <v>8573</v>
      </c>
      <c r="D239" s="11">
        <v>128685004</v>
      </c>
      <c r="E239" s="11">
        <f t="shared" si="4"/>
        <v>1250.8748784944983</v>
      </c>
      <c r="F239" s="11">
        <v>723</v>
      </c>
    </row>
    <row r="240" spans="1:10" x14ac:dyDescent="0.2">
      <c r="A240"/>
      <c r="B240" t="s">
        <v>198</v>
      </c>
      <c r="C240" s="11">
        <v>1150</v>
      </c>
      <c r="D240" s="11">
        <v>16931826</v>
      </c>
      <c r="E240" s="11">
        <f t="shared" si="4"/>
        <v>1226.9439130434782</v>
      </c>
      <c r="F240" s="11">
        <v>163</v>
      </c>
    </row>
    <row r="241" spans="1:6" x14ac:dyDescent="0.2">
      <c r="A241"/>
      <c r="B241" t="s">
        <v>199</v>
      </c>
      <c r="C241" s="11">
        <v>902</v>
      </c>
      <c r="D241" s="11">
        <v>23971436</v>
      </c>
      <c r="E241" s="11">
        <f t="shared" si="4"/>
        <v>2214.6559497413155</v>
      </c>
      <c r="F241" s="11">
        <v>149</v>
      </c>
    </row>
    <row r="242" spans="1:6" x14ac:dyDescent="0.2">
      <c r="A242"/>
      <c r="B242" t="s">
        <v>200</v>
      </c>
      <c r="C242" s="11">
        <f>SUM(C243:C244)</f>
        <v>8013</v>
      </c>
      <c r="D242" s="11">
        <f>SUM(D243:D244)</f>
        <v>132867917</v>
      </c>
      <c r="E242" s="11">
        <f t="shared" si="4"/>
        <v>1381.7953845833854</v>
      </c>
      <c r="F242" s="11">
        <f>SUM(F243:F244)</f>
        <v>722</v>
      </c>
    </row>
    <row r="243" spans="1:6" x14ac:dyDescent="0.2">
      <c r="A243"/>
      <c r="B243" t="s">
        <v>375</v>
      </c>
      <c r="C243" s="11">
        <v>6520</v>
      </c>
      <c r="D243" s="11">
        <v>111606728</v>
      </c>
      <c r="E243" s="11">
        <f t="shared" si="4"/>
        <v>1426.4663599182004</v>
      </c>
      <c r="F243" s="11">
        <v>585</v>
      </c>
    </row>
    <row r="244" spans="1:6" x14ac:dyDescent="0.2">
      <c r="A244"/>
      <c r="B244" t="s">
        <v>201</v>
      </c>
      <c r="C244" s="11">
        <v>1493</v>
      </c>
      <c r="D244" s="11">
        <v>21261189</v>
      </c>
      <c r="E244" s="11">
        <f t="shared" si="4"/>
        <v>1186.7151707970529</v>
      </c>
      <c r="F244" s="11">
        <v>137</v>
      </c>
    </row>
    <row r="245" spans="1:6" x14ac:dyDescent="0.2">
      <c r="A245"/>
      <c r="B245" t="s">
        <v>202</v>
      </c>
      <c r="C245" s="11">
        <f>SUM(C246:C247)</f>
        <v>28881</v>
      </c>
      <c r="D245" s="11">
        <f>SUM(D246:D247)</f>
        <v>623019744</v>
      </c>
      <c r="E245" s="11">
        <f t="shared" si="4"/>
        <v>1797.6632388075204</v>
      </c>
      <c r="F245" s="11">
        <f>SUM(F246:F247)</f>
        <v>387</v>
      </c>
    </row>
    <row r="246" spans="1:6" x14ac:dyDescent="0.2">
      <c r="A246"/>
      <c r="B246" t="s">
        <v>203</v>
      </c>
      <c r="C246" s="11">
        <v>8460</v>
      </c>
      <c r="D246" s="11">
        <v>153446218</v>
      </c>
      <c r="E246" s="11">
        <f t="shared" si="4"/>
        <v>1511.4875689519306</v>
      </c>
      <c r="F246" s="11">
        <v>106</v>
      </c>
    </row>
    <row r="247" spans="1:6" x14ac:dyDescent="0.2">
      <c r="A247"/>
      <c r="B247" t="s">
        <v>204</v>
      </c>
      <c r="C247" s="11">
        <v>20421</v>
      </c>
      <c r="D247" s="11">
        <v>469573526</v>
      </c>
      <c r="E247" s="11">
        <f t="shared" si="4"/>
        <v>1916.2199288314316</v>
      </c>
      <c r="F247" s="11">
        <v>281</v>
      </c>
    </row>
    <row r="248" spans="1:6" x14ac:dyDescent="0.2">
      <c r="A248"/>
      <c r="B248" t="s">
        <v>205</v>
      </c>
      <c r="C248" s="11">
        <f>SUM(C249:C252)</f>
        <v>7635</v>
      </c>
      <c r="D248" s="11">
        <f>SUM(D249:D252)</f>
        <v>203549935</v>
      </c>
      <c r="E248" s="11">
        <f t="shared" si="4"/>
        <v>2221.6757803972932</v>
      </c>
      <c r="F248" s="11">
        <f>SUM(F249:F252)</f>
        <v>924</v>
      </c>
    </row>
    <row r="249" spans="1:6" x14ac:dyDescent="0.2">
      <c r="A249"/>
      <c r="B249" t="s">
        <v>380</v>
      </c>
      <c r="C249" s="11">
        <v>688</v>
      </c>
      <c r="D249" s="11">
        <v>8871818</v>
      </c>
      <c r="E249" s="11">
        <f t="shared" si="4"/>
        <v>1074.5903585271319</v>
      </c>
      <c r="F249" s="11">
        <v>124</v>
      </c>
    </row>
    <row r="250" spans="1:6" x14ac:dyDescent="0.2">
      <c r="A250"/>
      <c r="B250" t="s">
        <v>206</v>
      </c>
      <c r="C250" s="11">
        <v>2640</v>
      </c>
      <c r="D250" s="11">
        <v>63005402</v>
      </c>
      <c r="E250" s="11">
        <f t="shared" ref="E250:E329" si="9">(D250/C250)/12</f>
        <v>1988.8068813131313</v>
      </c>
      <c r="F250" s="11">
        <v>316</v>
      </c>
    </row>
    <row r="251" spans="1:6" x14ac:dyDescent="0.2">
      <c r="A251"/>
      <c r="B251" t="s">
        <v>207</v>
      </c>
      <c r="C251" s="11">
        <v>710</v>
      </c>
      <c r="D251" s="11">
        <v>11967145</v>
      </c>
      <c r="E251" s="11">
        <f t="shared" si="9"/>
        <v>1404.594483568075</v>
      </c>
      <c r="F251" s="11">
        <v>99</v>
      </c>
    </row>
    <row r="252" spans="1:6" x14ac:dyDescent="0.2">
      <c r="A252"/>
      <c r="B252" t="s">
        <v>208</v>
      </c>
      <c r="C252" s="11">
        <v>3597</v>
      </c>
      <c r="D252" s="11">
        <v>119705570</v>
      </c>
      <c r="E252" s="11">
        <f t="shared" si="9"/>
        <v>2773.273329626541</v>
      </c>
      <c r="F252" s="11">
        <v>385</v>
      </c>
    </row>
    <row r="253" spans="1:6" x14ac:dyDescent="0.2">
      <c r="A253"/>
      <c r="B253" t="s">
        <v>209</v>
      </c>
      <c r="C253" s="11">
        <f>SUM(C254:C256)</f>
        <v>8463</v>
      </c>
      <c r="D253" s="11">
        <f>SUM(D254:D256)</f>
        <v>361655872</v>
      </c>
      <c r="E253" s="11">
        <f t="shared" si="9"/>
        <v>3561.1472685021072</v>
      </c>
      <c r="F253" s="11">
        <f>SUM(F254:F256)</f>
        <v>756</v>
      </c>
    </row>
    <row r="254" spans="1:6" x14ac:dyDescent="0.2">
      <c r="A254"/>
      <c r="B254" t="s">
        <v>210</v>
      </c>
      <c r="C254" s="11">
        <v>5734</v>
      </c>
      <c r="D254" s="11">
        <v>243659560</v>
      </c>
      <c r="E254" s="11">
        <f t="shared" si="9"/>
        <v>3541.1516102778746</v>
      </c>
      <c r="F254" s="11">
        <v>365</v>
      </c>
    </row>
    <row r="255" spans="1:6" x14ac:dyDescent="0.2">
      <c r="A255"/>
      <c r="B255" t="s">
        <v>211</v>
      </c>
      <c r="C255" s="11">
        <v>295</v>
      </c>
      <c r="D255" s="11">
        <v>8157988</v>
      </c>
      <c r="E255" s="11">
        <f t="shared" si="9"/>
        <v>2304.5163841807912</v>
      </c>
      <c r="F255" s="11">
        <v>53</v>
      </c>
    </row>
    <row r="256" spans="1:6" x14ac:dyDescent="0.2">
      <c r="A256"/>
      <c r="B256" t="s">
        <v>212</v>
      </c>
      <c r="C256" s="11">
        <v>2434</v>
      </c>
      <c r="D256" s="11">
        <v>109838324</v>
      </c>
      <c r="E256" s="11">
        <f t="shared" si="9"/>
        <v>3760.5561490002742</v>
      </c>
      <c r="F256" s="11">
        <v>338</v>
      </c>
    </row>
    <row r="257" spans="1:6" x14ac:dyDescent="0.2">
      <c r="A257"/>
      <c r="C257" s="11"/>
      <c r="D257" s="11"/>
      <c r="E257" s="11"/>
      <c r="F257" s="11"/>
    </row>
    <row r="258" spans="1:6" x14ac:dyDescent="0.2">
      <c r="B258" s="17" t="s">
        <v>422</v>
      </c>
    </row>
    <row r="259" spans="1:6" x14ac:dyDescent="0.2">
      <c r="B259" s="2"/>
      <c r="C259" s="2"/>
      <c r="D259" s="2"/>
      <c r="E259" s="2"/>
      <c r="F259" s="2"/>
    </row>
    <row r="260" spans="1:6" x14ac:dyDescent="0.2">
      <c r="B260" s="2"/>
      <c r="C260" s="2"/>
      <c r="D260" s="2"/>
      <c r="E260" s="2"/>
      <c r="F260" s="2"/>
    </row>
    <row r="261" spans="1:6" x14ac:dyDescent="0.2">
      <c r="B261" s="2"/>
      <c r="C261" s="2"/>
      <c r="D261" s="2"/>
      <c r="E261" s="2"/>
      <c r="F261" s="2"/>
    </row>
    <row r="262" spans="1:6" x14ac:dyDescent="0.2">
      <c r="B262" s="2"/>
      <c r="C262" s="2"/>
      <c r="D262" s="2"/>
      <c r="E262" s="2"/>
      <c r="F262" s="2"/>
    </row>
    <row r="264" spans="1:6" x14ac:dyDescent="0.2">
      <c r="C264" s="3" t="s">
        <v>82</v>
      </c>
      <c r="D264" s="3"/>
      <c r="E264" s="3" t="s">
        <v>82</v>
      </c>
      <c r="F264" s="3"/>
    </row>
    <row r="265" spans="1:6" x14ac:dyDescent="0.2">
      <c r="C265" s="3" t="s">
        <v>83</v>
      </c>
      <c r="D265" s="3"/>
      <c r="E265" s="3" t="s">
        <v>85</v>
      </c>
      <c r="F265" s="3" t="s">
        <v>86</v>
      </c>
    </row>
    <row r="266" spans="1:6" x14ac:dyDescent="0.2">
      <c r="C266" s="3" t="s">
        <v>84</v>
      </c>
      <c r="D266" s="3" t="s">
        <v>88</v>
      </c>
      <c r="E266" s="3" t="s">
        <v>89</v>
      </c>
      <c r="F266" s="3" t="s">
        <v>87</v>
      </c>
    </row>
    <row r="267" spans="1:6" x14ac:dyDescent="0.2">
      <c r="A267"/>
      <c r="C267" s="11"/>
      <c r="D267" s="11"/>
      <c r="E267" s="11"/>
      <c r="F267" s="11"/>
    </row>
    <row r="268" spans="1:6" x14ac:dyDescent="0.2">
      <c r="A268"/>
      <c r="B268" s="2" t="s">
        <v>362</v>
      </c>
      <c r="C268" s="10">
        <f>+C269+C272+C274+C277+C283+C286+C289+C295+C297+C311</f>
        <v>43078</v>
      </c>
      <c r="D268" s="10">
        <f>+D269+D272+D274+D277+D283+D286+D289+D295+D297+D311</f>
        <v>1801099451</v>
      </c>
      <c r="E268" s="10">
        <f t="shared" ref="E268:E279" si="10">(D268/C268)/12</f>
        <v>3484.182666713094</v>
      </c>
      <c r="F268" s="10">
        <f>+F269+F272+F274+F277+F283+F286+F289+F295+F297+F311</f>
        <v>2206</v>
      </c>
    </row>
    <row r="269" spans="1:6" x14ac:dyDescent="0.2">
      <c r="A269"/>
      <c r="B269" t="s">
        <v>234</v>
      </c>
      <c r="C269" s="11">
        <f>SUM(C270:C271)</f>
        <v>6502</v>
      </c>
      <c r="D269" s="11">
        <f>SUM(D270:D271)</f>
        <v>344568149</v>
      </c>
      <c r="E269" s="11">
        <f t="shared" si="10"/>
        <v>4416.1815467035785</v>
      </c>
      <c r="F269" s="11">
        <f>SUM(F270:F271)</f>
        <v>53</v>
      </c>
    </row>
    <row r="270" spans="1:6" x14ac:dyDescent="0.2">
      <c r="A270"/>
      <c r="B270" t="s">
        <v>235</v>
      </c>
      <c r="C270" s="11">
        <v>6370</v>
      </c>
      <c r="D270" s="11">
        <v>336699333</v>
      </c>
      <c r="E270" s="11">
        <f t="shared" si="10"/>
        <v>4404.7531789638933</v>
      </c>
      <c r="F270" s="14">
        <v>21</v>
      </c>
    </row>
    <row r="271" spans="1:6" x14ac:dyDescent="0.2">
      <c r="A271"/>
      <c r="B271" t="s">
        <v>236</v>
      </c>
      <c r="C271" s="11">
        <v>132</v>
      </c>
      <c r="D271" s="11">
        <v>7868816</v>
      </c>
      <c r="E271" s="11">
        <f t="shared" si="10"/>
        <v>4967.6868686868684</v>
      </c>
      <c r="F271" s="11">
        <v>32</v>
      </c>
    </row>
    <row r="272" spans="1:6" x14ac:dyDescent="0.2">
      <c r="A272"/>
      <c r="B272" t="s">
        <v>237</v>
      </c>
      <c r="C272" s="11">
        <f>+C273</f>
        <v>1626</v>
      </c>
      <c r="D272" s="11">
        <f>+D273</f>
        <v>110314297</v>
      </c>
      <c r="E272" s="11">
        <f t="shared" si="10"/>
        <v>5653.6642578925785</v>
      </c>
      <c r="F272" s="11">
        <f>+F273</f>
        <v>28</v>
      </c>
    </row>
    <row r="273" spans="1:6" x14ac:dyDescent="0.2">
      <c r="A273"/>
      <c r="B273" t="s">
        <v>238</v>
      </c>
      <c r="C273" s="11">
        <v>1626</v>
      </c>
      <c r="D273" s="11">
        <v>110314297</v>
      </c>
      <c r="E273" s="11">
        <f t="shared" si="10"/>
        <v>5653.6642578925785</v>
      </c>
      <c r="F273" s="11">
        <v>28</v>
      </c>
    </row>
    <row r="274" spans="1:6" x14ac:dyDescent="0.2">
      <c r="A274"/>
      <c r="B274" t="s">
        <v>239</v>
      </c>
      <c r="C274" s="11">
        <f>SUM(C275:C276)</f>
        <v>17613</v>
      </c>
      <c r="D274" s="11">
        <f>SUM(D275:D276)</f>
        <v>705421217</v>
      </c>
      <c r="E274" s="11">
        <f t="shared" si="10"/>
        <v>3337.597309752266</v>
      </c>
      <c r="F274" s="11">
        <f>SUM(F275:F276)</f>
        <v>1320</v>
      </c>
    </row>
    <row r="275" spans="1:6" x14ac:dyDescent="0.2">
      <c r="A275"/>
      <c r="B275" t="s">
        <v>240</v>
      </c>
      <c r="C275" s="11">
        <v>10675</v>
      </c>
      <c r="D275" s="11">
        <v>438831541</v>
      </c>
      <c r="E275" s="11">
        <f t="shared" si="10"/>
        <v>3425.6950897736147</v>
      </c>
      <c r="F275" s="11">
        <v>800</v>
      </c>
    </row>
    <row r="276" spans="1:6" x14ac:dyDescent="0.2">
      <c r="A276"/>
      <c r="B276" t="s">
        <v>241</v>
      </c>
      <c r="C276" s="11">
        <v>6938</v>
      </c>
      <c r="D276" s="11">
        <v>266589676</v>
      </c>
      <c r="E276" s="11">
        <f t="shared" si="10"/>
        <v>3202.047612184107</v>
      </c>
      <c r="F276" s="11">
        <v>520</v>
      </c>
    </row>
    <row r="277" spans="1:6" x14ac:dyDescent="0.2">
      <c r="A277"/>
      <c r="B277" t="s">
        <v>242</v>
      </c>
      <c r="C277" s="11">
        <f>SUM(C278:C282)</f>
        <v>1402</v>
      </c>
      <c r="D277" s="11">
        <f>SUM(D278:D282)</f>
        <v>28405040</v>
      </c>
      <c r="E277" s="11">
        <f t="shared" si="10"/>
        <v>1688.3642415596767</v>
      </c>
      <c r="F277" s="11">
        <f>SUM(F278:F282)</f>
        <v>89</v>
      </c>
    </row>
    <row r="278" spans="1:6" x14ac:dyDescent="0.2">
      <c r="A278"/>
      <c r="B278" t="s">
        <v>396</v>
      </c>
      <c r="C278" s="11">
        <v>55</v>
      </c>
      <c r="D278" s="11">
        <v>1707106</v>
      </c>
      <c r="E278" s="11">
        <f t="shared" si="10"/>
        <v>2586.5242424242424</v>
      </c>
      <c r="F278" s="11">
        <v>5</v>
      </c>
    </row>
    <row r="279" spans="1:6" x14ac:dyDescent="0.2">
      <c r="A279"/>
      <c r="B279" t="s">
        <v>244</v>
      </c>
      <c r="C279" s="11">
        <v>375</v>
      </c>
      <c r="D279" s="11">
        <v>7250071</v>
      </c>
      <c r="E279" s="11">
        <f t="shared" si="10"/>
        <v>1611.126888888889</v>
      </c>
      <c r="F279" s="11">
        <v>30</v>
      </c>
    </row>
    <row r="280" spans="1:6" x14ac:dyDescent="0.2">
      <c r="A280"/>
      <c r="B280" t="s">
        <v>243</v>
      </c>
      <c r="C280" s="11">
        <v>146</v>
      </c>
      <c r="D280" s="11">
        <v>1917830</v>
      </c>
      <c r="E280" s="11">
        <f t="shared" si="9"/>
        <v>1094.6518264840183</v>
      </c>
      <c r="F280" s="11">
        <v>5</v>
      </c>
    </row>
    <row r="281" spans="1:6" x14ac:dyDescent="0.2">
      <c r="A281"/>
      <c r="B281" t="s">
        <v>245</v>
      </c>
      <c r="C281" s="11">
        <v>313</v>
      </c>
      <c r="D281" s="11">
        <v>7485535</v>
      </c>
      <c r="E281" s="11">
        <f t="shared" si="9"/>
        <v>1992.9539403620875</v>
      </c>
      <c r="F281" s="11">
        <v>8</v>
      </c>
    </row>
    <row r="282" spans="1:6" x14ac:dyDescent="0.2">
      <c r="A282"/>
      <c r="B282" t="s">
        <v>415</v>
      </c>
      <c r="C282" s="11">
        <f>56+457</f>
        <v>513</v>
      </c>
      <c r="D282" s="11">
        <f>1822296+8222202</f>
        <v>10044498</v>
      </c>
      <c r="E282" s="11">
        <f t="shared" si="9"/>
        <v>1631.6598440545811</v>
      </c>
      <c r="F282" s="11">
        <f>3+38</f>
        <v>41</v>
      </c>
    </row>
    <row r="283" spans="1:6" x14ac:dyDescent="0.2">
      <c r="A283"/>
      <c r="B283" t="s">
        <v>246</v>
      </c>
      <c r="C283" s="11">
        <f>SUM(C284:C285)</f>
        <v>283</v>
      </c>
      <c r="D283" s="11">
        <f>SUM(D284:D285)</f>
        <v>27948020</v>
      </c>
      <c r="E283" s="11">
        <f t="shared" si="9"/>
        <v>8229.6878680800946</v>
      </c>
      <c r="F283" s="11">
        <f>SUM(F284:F285)</f>
        <v>22</v>
      </c>
    </row>
    <row r="284" spans="1:6" x14ac:dyDescent="0.2">
      <c r="A284"/>
      <c r="B284" t="s">
        <v>247</v>
      </c>
      <c r="C284" s="11">
        <v>236</v>
      </c>
      <c r="D284" s="11">
        <v>23141161</v>
      </c>
      <c r="E284" s="11">
        <f t="shared" si="9"/>
        <v>8171.3139124293784</v>
      </c>
      <c r="F284" s="11">
        <v>17</v>
      </c>
    </row>
    <row r="285" spans="1:6" x14ac:dyDescent="0.2">
      <c r="A285"/>
      <c r="B285" t="s">
        <v>330</v>
      </c>
      <c r="C285" s="11">
        <f>6+41</f>
        <v>47</v>
      </c>
      <c r="D285" s="11">
        <f>607920+4198939</f>
        <v>4806859</v>
      </c>
      <c r="E285" s="11">
        <f t="shared" si="9"/>
        <v>8522.7996453900705</v>
      </c>
      <c r="F285" s="11">
        <f>3+2</f>
        <v>5</v>
      </c>
    </row>
    <row r="286" spans="1:6" x14ac:dyDescent="0.2">
      <c r="A286"/>
      <c r="B286" t="s">
        <v>248</v>
      </c>
      <c r="C286" s="11">
        <f>SUM(C287:C288)</f>
        <v>47</v>
      </c>
      <c r="D286" s="11">
        <f>SUM(D287:D288)</f>
        <v>915732</v>
      </c>
      <c r="E286" s="11">
        <f t="shared" si="9"/>
        <v>1623.6382978723404</v>
      </c>
      <c r="F286" s="11">
        <f>SUM(F287:F288)</f>
        <v>11</v>
      </c>
    </row>
    <row r="287" spans="1:6" x14ac:dyDescent="0.2">
      <c r="A287"/>
      <c r="B287" t="s">
        <v>377</v>
      </c>
      <c r="C287" s="11">
        <v>33</v>
      </c>
      <c r="D287" s="11">
        <v>657648</v>
      </c>
      <c r="E287" s="11">
        <f t="shared" si="9"/>
        <v>1660.7272727272727</v>
      </c>
      <c r="F287" s="11">
        <v>6</v>
      </c>
    </row>
    <row r="288" spans="1:6" x14ac:dyDescent="0.2">
      <c r="A288"/>
      <c r="B288" t="s">
        <v>416</v>
      </c>
      <c r="C288" s="11">
        <v>14</v>
      </c>
      <c r="D288" s="11">
        <v>258084</v>
      </c>
      <c r="E288" s="11">
        <f t="shared" si="9"/>
        <v>1536.2142857142856</v>
      </c>
      <c r="F288" s="11">
        <v>5</v>
      </c>
    </row>
    <row r="289" spans="1:6" x14ac:dyDescent="0.2">
      <c r="A289"/>
      <c r="B289" t="s">
        <v>249</v>
      </c>
      <c r="C289" s="11">
        <f>SUM(C290:C294)</f>
        <v>3387</v>
      </c>
      <c r="D289" s="11">
        <f>SUM(D290:D294)</f>
        <v>127437280</v>
      </c>
      <c r="E289" s="11">
        <f t="shared" si="9"/>
        <v>3135.4512351146536</v>
      </c>
      <c r="F289" s="11">
        <f>SUM(F290:F294)</f>
        <v>356</v>
      </c>
    </row>
    <row r="290" spans="1:6" x14ac:dyDescent="0.2">
      <c r="A290"/>
      <c r="B290" t="s">
        <v>250</v>
      </c>
      <c r="C290" s="11">
        <v>1427</v>
      </c>
      <c r="D290" s="11">
        <v>49591206</v>
      </c>
      <c r="E290" s="11">
        <f t="shared" si="9"/>
        <v>2896.0059565522074</v>
      </c>
      <c r="F290" s="11">
        <v>73</v>
      </c>
    </row>
    <row r="291" spans="1:6" x14ac:dyDescent="0.2">
      <c r="A291"/>
      <c r="B291" t="s">
        <v>251</v>
      </c>
      <c r="C291" s="11">
        <v>108</v>
      </c>
      <c r="D291" s="11">
        <v>5022247</v>
      </c>
      <c r="E291" s="11">
        <f t="shared" si="9"/>
        <v>3875.1905864197529</v>
      </c>
      <c r="F291" s="11">
        <v>15</v>
      </c>
    </row>
    <row r="292" spans="1:6" x14ac:dyDescent="0.2">
      <c r="A292"/>
      <c r="B292" t="s">
        <v>253</v>
      </c>
      <c r="C292" s="11">
        <v>566</v>
      </c>
      <c r="D292" s="11">
        <v>15149689</v>
      </c>
      <c r="E292" s="11">
        <f t="shared" si="9"/>
        <v>2230.5195818610132</v>
      </c>
      <c r="F292" s="11">
        <v>105</v>
      </c>
    </row>
    <row r="293" spans="1:6" x14ac:dyDescent="0.2">
      <c r="A293"/>
      <c r="B293" t="s">
        <v>252</v>
      </c>
      <c r="C293" s="11">
        <v>898</v>
      </c>
      <c r="D293" s="11">
        <v>46548724</v>
      </c>
      <c r="E293" s="11">
        <f t="shared" si="9"/>
        <v>4319.6662954714184</v>
      </c>
      <c r="F293" s="11">
        <v>138</v>
      </c>
    </row>
    <row r="294" spans="1:6" x14ac:dyDescent="0.2">
      <c r="A294"/>
      <c r="B294" t="s">
        <v>391</v>
      </c>
      <c r="C294" s="11">
        <f>11+377</f>
        <v>388</v>
      </c>
      <c r="D294" s="11">
        <f>10570442+347222+207750</f>
        <v>11125414</v>
      </c>
      <c r="E294" s="11">
        <f t="shared" si="9"/>
        <v>2389.4789518900343</v>
      </c>
      <c r="F294" s="11">
        <f>2+23</f>
        <v>25</v>
      </c>
    </row>
    <row r="295" spans="1:6" x14ac:dyDescent="0.2">
      <c r="A295"/>
      <c r="B295" t="s">
        <v>254</v>
      </c>
      <c r="C295" s="11">
        <f>+C296</f>
        <v>104</v>
      </c>
      <c r="D295" s="11">
        <f>+D296</f>
        <v>1955829</v>
      </c>
      <c r="E295" s="11">
        <f t="shared" si="9"/>
        <v>1567.1706730769231</v>
      </c>
      <c r="F295" s="11">
        <f>+F296</f>
        <v>12</v>
      </c>
    </row>
    <row r="296" spans="1:6" x14ac:dyDescent="0.2">
      <c r="A296"/>
      <c r="B296" t="s">
        <v>255</v>
      </c>
      <c r="C296" s="11">
        <v>104</v>
      </c>
      <c r="D296" s="11">
        <v>1955829</v>
      </c>
      <c r="E296" s="11">
        <f t="shared" si="9"/>
        <v>1567.1706730769231</v>
      </c>
      <c r="F296" s="11">
        <v>12</v>
      </c>
    </row>
    <row r="297" spans="1:6" x14ac:dyDescent="0.2">
      <c r="A297"/>
      <c r="B297" t="s">
        <v>71</v>
      </c>
      <c r="C297" s="11">
        <f>SUM(C298:C299)</f>
        <v>4766</v>
      </c>
      <c r="D297" s="11">
        <f>+D298+D299</f>
        <v>172171475</v>
      </c>
      <c r="E297" s="11">
        <f t="shared" si="9"/>
        <v>3010.4118583018603</v>
      </c>
      <c r="F297" s="11">
        <f>+F298+F299</f>
        <v>180</v>
      </c>
    </row>
    <row r="298" spans="1:6" x14ac:dyDescent="0.2">
      <c r="A298"/>
      <c r="B298" t="s">
        <v>256</v>
      </c>
      <c r="C298" s="11">
        <v>4574</v>
      </c>
      <c r="D298" s="11">
        <v>166547191</v>
      </c>
      <c r="E298" s="11">
        <f t="shared" si="9"/>
        <v>3034.3097033960062</v>
      </c>
      <c r="F298" s="11">
        <v>129</v>
      </c>
    </row>
    <row r="299" spans="1:6" x14ac:dyDescent="0.2">
      <c r="A299"/>
      <c r="B299" t="s">
        <v>381</v>
      </c>
      <c r="C299" s="11">
        <v>192</v>
      </c>
      <c r="D299" s="11">
        <v>5624284</v>
      </c>
      <c r="E299" s="11">
        <f t="shared" si="9"/>
        <v>2441.0954861111109</v>
      </c>
      <c r="F299" s="11">
        <v>51</v>
      </c>
    </row>
    <row r="301" spans="1:6" x14ac:dyDescent="0.2">
      <c r="B301" s="17" t="s">
        <v>422</v>
      </c>
    </row>
    <row r="302" spans="1:6" x14ac:dyDescent="0.2">
      <c r="B302" s="2"/>
      <c r="C302" s="2"/>
      <c r="D302" s="2"/>
      <c r="E302" s="2"/>
      <c r="F302" s="2"/>
    </row>
    <row r="303" spans="1:6" x14ac:dyDescent="0.2">
      <c r="B303" s="2"/>
      <c r="C303" s="2"/>
      <c r="D303" s="2"/>
      <c r="E303" s="2"/>
      <c r="F303" s="2"/>
    </row>
    <row r="304" spans="1:6" x14ac:dyDescent="0.2">
      <c r="B304" s="2"/>
      <c r="C304" s="2"/>
      <c r="D304" s="2"/>
      <c r="E304" s="2"/>
      <c r="F304" s="2"/>
    </row>
    <row r="305" spans="1:8" x14ac:dyDescent="0.2">
      <c r="B305" s="2"/>
      <c r="C305" s="2"/>
      <c r="D305" s="2"/>
      <c r="E305" s="2"/>
      <c r="F305" s="2"/>
    </row>
    <row r="307" spans="1:8" x14ac:dyDescent="0.2">
      <c r="C307" s="3" t="s">
        <v>82</v>
      </c>
      <c r="D307" s="3"/>
      <c r="E307" s="3" t="s">
        <v>82</v>
      </c>
      <c r="F307" s="3"/>
    </row>
    <row r="308" spans="1:8" x14ac:dyDescent="0.2">
      <c r="C308" s="3" t="s">
        <v>83</v>
      </c>
      <c r="D308" s="3"/>
      <c r="E308" s="3" t="s">
        <v>85</v>
      </c>
      <c r="F308" s="3" t="s">
        <v>86</v>
      </c>
    </row>
    <row r="309" spans="1:8" x14ac:dyDescent="0.2">
      <c r="C309" s="3" t="s">
        <v>84</v>
      </c>
      <c r="D309" s="3" t="s">
        <v>88</v>
      </c>
      <c r="E309" s="3" t="s">
        <v>89</v>
      </c>
      <c r="F309" s="3" t="s">
        <v>87</v>
      </c>
    </row>
    <row r="310" spans="1:8" x14ac:dyDescent="0.2">
      <c r="A310"/>
      <c r="C310" s="11"/>
      <c r="D310" s="11"/>
      <c r="E310" s="11"/>
      <c r="F310" s="11"/>
      <c r="H310" s="7"/>
    </row>
    <row r="311" spans="1:8" x14ac:dyDescent="0.2">
      <c r="A311"/>
      <c r="B311" t="s">
        <v>72</v>
      </c>
      <c r="C311" s="11">
        <f>+C312</f>
        <v>7348</v>
      </c>
      <c r="D311" s="11">
        <f>+D312</f>
        <v>281962412</v>
      </c>
      <c r="E311" s="11">
        <f t="shared" ref="E311:E324" si="11">(D311/C311)/12</f>
        <v>3197.7228724369447</v>
      </c>
      <c r="F311" s="11">
        <f>+F312</f>
        <v>135</v>
      </c>
    </row>
    <row r="312" spans="1:8" x14ac:dyDescent="0.2">
      <c r="A312"/>
      <c r="B312" t="s">
        <v>382</v>
      </c>
      <c r="C312" s="11">
        <v>7348</v>
      </c>
      <c r="D312" s="11">
        <v>281962412</v>
      </c>
      <c r="E312" s="11">
        <f t="shared" si="11"/>
        <v>3197.7228724369447</v>
      </c>
      <c r="F312" s="11">
        <v>135</v>
      </c>
    </row>
    <row r="313" spans="1:8" x14ac:dyDescent="0.2">
      <c r="A313"/>
      <c r="C313" s="11"/>
      <c r="D313" s="11"/>
      <c r="E313" s="11"/>
      <c r="F313" s="11"/>
    </row>
    <row r="314" spans="1:8" x14ac:dyDescent="0.2">
      <c r="A314"/>
      <c r="B314" s="2" t="s">
        <v>363</v>
      </c>
      <c r="C314" s="10">
        <f>+C315+C318+C321+C324+C329+C331</f>
        <v>29274</v>
      </c>
      <c r="D314" s="10">
        <f>+D315+D318+D321+D324+D329+D331</f>
        <v>1498957290</v>
      </c>
      <c r="E314" s="10">
        <f t="shared" si="11"/>
        <v>4267.0324349251896</v>
      </c>
      <c r="F314" s="10">
        <f>+F315+F318+F321+F324+F329+F331</f>
        <v>1645</v>
      </c>
    </row>
    <row r="315" spans="1:8" x14ac:dyDescent="0.2">
      <c r="A315"/>
      <c r="B315" t="s">
        <v>257</v>
      </c>
      <c r="C315" s="11">
        <f>SUM(C316:C317)</f>
        <v>9031</v>
      </c>
      <c r="D315" s="11">
        <f>SUM(D316:D317)</f>
        <v>561023819</v>
      </c>
      <c r="E315" s="11">
        <f t="shared" si="11"/>
        <v>5176.8336747499352</v>
      </c>
      <c r="F315" s="11">
        <f>SUM(F316:F317)</f>
        <v>445</v>
      </c>
    </row>
    <row r="316" spans="1:8" x14ac:dyDescent="0.2">
      <c r="A316"/>
      <c r="B316" t="s">
        <v>258</v>
      </c>
      <c r="C316" s="11">
        <v>3550</v>
      </c>
      <c r="D316" s="11">
        <v>125715747</v>
      </c>
      <c r="E316" s="11">
        <f t="shared" si="11"/>
        <v>2951.0738732394366</v>
      </c>
      <c r="F316" s="11">
        <v>206</v>
      </c>
    </row>
    <row r="317" spans="1:8" x14ac:dyDescent="0.2">
      <c r="A317"/>
      <c r="B317" t="s">
        <v>259</v>
      </c>
      <c r="C317" s="11">
        <v>5481</v>
      </c>
      <c r="D317" s="11">
        <v>435308072</v>
      </c>
      <c r="E317" s="11">
        <f t="shared" si="11"/>
        <v>6618.4405522106672</v>
      </c>
      <c r="F317" s="11">
        <v>239</v>
      </c>
    </row>
    <row r="318" spans="1:8" x14ac:dyDescent="0.2">
      <c r="A318"/>
      <c r="B318" t="s">
        <v>260</v>
      </c>
      <c r="C318" s="11">
        <f>SUM(C319:C320)</f>
        <v>3779</v>
      </c>
      <c r="D318" s="11">
        <f>SUM(D319:D320)</f>
        <v>71336729</v>
      </c>
      <c r="E318" s="11">
        <f t="shared" si="11"/>
        <v>1573.0953735556143</v>
      </c>
      <c r="F318" s="11">
        <f>SUM(F319:F320)</f>
        <v>317</v>
      </c>
    </row>
    <row r="319" spans="1:8" x14ac:dyDescent="0.2">
      <c r="A319"/>
      <c r="B319" t="s">
        <v>389</v>
      </c>
      <c r="C319" s="11">
        <v>3702</v>
      </c>
      <c r="D319" s="11">
        <v>67302963</v>
      </c>
      <c r="E319" s="12">
        <f t="shared" si="11"/>
        <v>1515.0135737439223</v>
      </c>
      <c r="F319" s="11">
        <v>287</v>
      </c>
    </row>
    <row r="320" spans="1:8" x14ac:dyDescent="0.2">
      <c r="A320" s="3"/>
      <c r="B320" t="s">
        <v>261</v>
      </c>
      <c r="C320" s="12">
        <v>77</v>
      </c>
      <c r="D320" s="12">
        <v>4033766</v>
      </c>
      <c r="E320" s="12">
        <f t="shared" si="11"/>
        <v>4365.5476190476193</v>
      </c>
      <c r="F320" s="12">
        <v>30</v>
      </c>
    </row>
    <row r="321" spans="1:8" x14ac:dyDescent="0.2">
      <c r="A321"/>
      <c r="B321" t="s">
        <v>262</v>
      </c>
      <c r="C321" s="11">
        <f>+C322+C323</f>
        <v>2027</v>
      </c>
      <c r="D321" s="11">
        <f>+D322+D323</f>
        <v>104710310</v>
      </c>
      <c r="E321" s="11">
        <f t="shared" si="11"/>
        <v>4304.8145864167082</v>
      </c>
      <c r="F321" s="11">
        <f>+F322+F323</f>
        <v>99</v>
      </c>
    </row>
    <row r="322" spans="1:8" x14ac:dyDescent="0.2">
      <c r="A322"/>
      <c r="B322" t="s">
        <v>264</v>
      </c>
      <c r="C322" s="11">
        <v>1512</v>
      </c>
      <c r="D322" s="11">
        <v>78457825</v>
      </c>
      <c r="E322" s="11">
        <f t="shared" si="11"/>
        <v>4324.174658289242</v>
      </c>
      <c r="F322" s="11">
        <v>75</v>
      </c>
    </row>
    <row r="323" spans="1:8" x14ac:dyDescent="0.2">
      <c r="A323"/>
      <c r="B323" t="s">
        <v>263</v>
      </c>
      <c r="C323" s="11">
        <v>515</v>
      </c>
      <c r="D323" s="11">
        <v>26252485</v>
      </c>
      <c r="E323" s="11">
        <f t="shared" si="11"/>
        <v>4247.974919093851</v>
      </c>
      <c r="F323" s="11">
        <v>24</v>
      </c>
    </row>
    <row r="324" spans="1:8" x14ac:dyDescent="0.2">
      <c r="A324"/>
      <c r="B324" t="s">
        <v>403</v>
      </c>
      <c r="C324" s="11">
        <f>SUM(C325:C328)</f>
        <v>4692</v>
      </c>
      <c r="D324" s="11">
        <f>SUM(D325:D328)</f>
        <v>256443357</v>
      </c>
      <c r="E324" s="11">
        <f t="shared" si="11"/>
        <v>4554.6205775788576</v>
      </c>
      <c r="F324" s="11">
        <f>SUM(F325:F328)</f>
        <v>389</v>
      </c>
      <c r="H324" s="7"/>
    </row>
    <row r="325" spans="1:8" x14ac:dyDescent="0.2">
      <c r="A325"/>
      <c r="B325" t="s">
        <v>402</v>
      </c>
      <c r="C325" s="11">
        <v>2522</v>
      </c>
      <c r="D325" s="11">
        <v>139829118</v>
      </c>
      <c r="E325" s="11">
        <f t="shared" si="9"/>
        <v>4620.3118556701029</v>
      </c>
      <c r="F325" s="11">
        <v>153</v>
      </c>
    </row>
    <row r="326" spans="1:8" x14ac:dyDescent="0.2">
      <c r="A326"/>
      <c r="B326" t="s">
        <v>265</v>
      </c>
      <c r="C326" s="11">
        <v>486</v>
      </c>
      <c r="D326" s="11">
        <v>29769434</v>
      </c>
      <c r="E326" s="11">
        <f t="shared" si="9"/>
        <v>5104.4982853223592</v>
      </c>
      <c r="F326" s="11">
        <v>71</v>
      </c>
    </row>
    <row r="327" spans="1:8" x14ac:dyDescent="0.2">
      <c r="A327"/>
      <c r="B327" t="s">
        <v>266</v>
      </c>
      <c r="C327" s="11">
        <v>125</v>
      </c>
      <c r="D327" s="11">
        <v>4185545</v>
      </c>
      <c r="E327" s="11">
        <f t="shared" si="9"/>
        <v>2790.3633333333332</v>
      </c>
      <c r="F327" s="11">
        <v>16</v>
      </c>
    </row>
    <row r="328" spans="1:8" x14ac:dyDescent="0.2">
      <c r="A328"/>
      <c r="B328" t="s">
        <v>401</v>
      </c>
      <c r="C328" s="11">
        <v>1559</v>
      </c>
      <c r="D328" s="11">
        <v>82659260</v>
      </c>
      <c r="E328" s="11">
        <f t="shared" si="9"/>
        <v>4418.391062646996</v>
      </c>
      <c r="F328" s="11">
        <v>149</v>
      </c>
    </row>
    <row r="329" spans="1:8" x14ac:dyDescent="0.2">
      <c r="A329"/>
      <c r="B329" t="s">
        <v>404</v>
      </c>
      <c r="C329" s="11">
        <f>SUM(C330:C330)</f>
        <v>6714</v>
      </c>
      <c r="D329" s="11">
        <f>SUM(D330:D330)</f>
        <v>349300518</v>
      </c>
      <c r="E329" s="11">
        <f t="shared" si="9"/>
        <v>4335.4746053023528</v>
      </c>
      <c r="F329" s="11">
        <f>SUM(F330:F330)</f>
        <v>236</v>
      </c>
    </row>
    <row r="330" spans="1:8" x14ac:dyDescent="0.2">
      <c r="A330"/>
      <c r="B330" t="s">
        <v>267</v>
      </c>
      <c r="C330" s="11">
        <v>6714</v>
      </c>
      <c r="D330" s="11">
        <v>349300518</v>
      </c>
      <c r="E330" s="11">
        <f>(D330/C330)/12</f>
        <v>4335.4746053023528</v>
      </c>
      <c r="F330" s="11">
        <v>236</v>
      </c>
    </row>
    <row r="331" spans="1:8" x14ac:dyDescent="0.2">
      <c r="A331"/>
      <c r="B331" t="s">
        <v>399</v>
      </c>
      <c r="C331" s="11">
        <f>+C332</f>
        <v>3031</v>
      </c>
      <c r="D331" s="11">
        <f>+D332</f>
        <v>156142557</v>
      </c>
      <c r="E331" s="11">
        <f t="shared" ref="E331:E414" si="12">(D331/C331)/12</f>
        <v>4292.9329429231275</v>
      </c>
      <c r="F331" s="11">
        <f>F332</f>
        <v>159</v>
      </c>
    </row>
    <row r="332" spans="1:8" x14ac:dyDescent="0.2">
      <c r="A332"/>
      <c r="B332" t="s">
        <v>405</v>
      </c>
      <c r="C332" s="11">
        <v>3031</v>
      </c>
      <c r="D332" s="11">
        <f>156166150-23593</f>
        <v>156142557</v>
      </c>
      <c r="E332" s="11">
        <f t="shared" si="12"/>
        <v>4292.9329429231275</v>
      </c>
      <c r="F332" s="11">
        <f>202-43</f>
        <v>159</v>
      </c>
    </row>
    <row r="333" spans="1:8" x14ac:dyDescent="0.2">
      <c r="A333"/>
      <c r="B333" s="5" t="s">
        <v>406</v>
      </c>
      <c r="C333" s="11"/>
      <c r="D333" s="11"/>
      <c r="E333" s="11"/>
      <c r="F333" s="11"/>
    </row>
    <row r="334" spans="1:8" x14ac:dyDescent="0.2">
      <c r="A334"/>
      <c r="C334" s="11"/>
      <c r="D334" s="11"/>
      <c r="E334" s="11"/>
      <c r="F334" s="11"/>
    </row>
    <row r="335" spans="1:8" x14ac:dyDescent="0.2">
      <c r="A335"/>
      <c r="B335" s="2" t="s">
        <v>409</v>
      </c>
      <c r="C335" s="10">
        <f>+C336+C337+C341+C355+C358</f>
        <v>51732</v>
      </c>
      <c r="D335" s="10">
        <f>+D336+D337+D341+D355+D358</f>
        <v>2801129310</v>
      </c>
      <c r="E335" s="10">
        <f t="shared" si="12"/>
        <v>4512.2446938065414</v>
      </c>
      <c r="F335" s="10">
        <f>+F336+F337+F341+F355+F358</f>
        <v>5246</v>
      </c>
    </row>
    <row r="336" spans="1:8" x14ac:dyDescent="0.2">
      <c r="A336"/>
      <c r="B336" t="s">
        <v>392</v>
      </c>
      <c r="C336" s="11">
        <v>118</v>
      </c>
      <c r="D336" s="11">
        <v>8364771</v>
      </c>
      <c r="E336" s="11">
        <f t="shared" si="12"/>
        <v>5907.3241525423728</v>
      </c>
      <c r="F336" s="11">
        <v>8</v>
      </c>
    </row>
    <row r="337" spans="1:8" x14ac:dyDescent="0.2">
      <c r="A337"/>
      <c r="B337" t="s">
        <v>268</v>
      </c>
      <c r="C337" s="11">
        <f>SUM(C338:C340)</f>
        <v>30421</v>
      </c>
      <c r="D337" s="11">
        <f>SUM(D338:D340)</f>
        <v>1515912075</v>
      </c>
      <c r="E337" s="11">
        <f t="shared" si="12"/>
        <v>4152.5921649518423</v>
      </c>
      <c r="F337" s="11">
        <f>SUM(F338:F340)</f>
        <v>2154</v>
      </c>
    </row>
    <row r="338" spans="1:8" x14ac:dyDescent="0.2">
      <c r="A338"/>
      <c r="B338" t="s">
        <v>269</v>
      </c>
      <c r="C338" s="11">
        <v>15664</v>
      </c>
      <c r="D338" s="11">
        <v>705827940</v>
      </c>
      <c r="E338" s="11">
        <f t="shared" si="12"/>
        <v>3755.0430924412667</v>
      </c>
      <c r="F338" s="11">
        <v>1009</v>
      </c>
      <c r="H338" s="5"/>
    </row>
    <row r="339" spans="1:8" x14ac:dyDescent="0.2">
      <c r="A339"/>
      <c r="B339" t="s">
        <v>270</v>
      </c>
      <c r="C339" s="11">
        <v>9590</v>
      </c>
      <c r="D339" s="11">
        <v>512038897</v>
      </c>
      <c r="E339" s="11">
        <f t="shared" si="12"/>
        <v>4449.4169012860621</v>
      </c>
      <c r="F339" s="11">
        <v>661</v>
      </c>
    </row>
    <row r="340" spans="1:8" x14ac:dyDescent="0.2">
      <c r="A340"/>
      <c r="B340" t="s">
        <v>271</v>
      </c>
      <c r="C340" s="11">
        <v>5167</v>
      </c>
      <c r="D340" s="11">
        <v>298045238</v>
      </c>
      <c r="E340" s="11">
        <f t="shared" si="12"/>
        <v>4806.8711373459782</v>
      </c>
      <c r="F340" s="11">
        <v>484</v>
      </c>
    </row>
    <row r="341" spans="1:8" x14ac:dyDescent="0.2">
      <c r="A341"/>
      <c r="B341" t="s">
        <v>407</v>
      </c>
      <c r="C341" s="11">
        <f>SUM(C342:C343)</f>
        <v>5037</v>
      </c>
      <c r="D341" s="11">
        <f>SUM(D342:D343)</f>
        <v>416779077</v>
      </c>
      <c r="E341" s="12">
        <f t="shared" si="12"/>
        <v>6895.2927834028196</v>
      </c>
      <c r="F341" s="11">
        <f>SUM(F342:F343)</f>
        <v>878</v>
      </c>
    </row>
    <row r="342" spans="1:8" x14ac:dyDescent="0.2">
      <c r="A342" s="3"/>
      <c r="B342" t="s">
        <v>408</v>
      </c>
      <c r="C342" s="12">
        <v>2981</v>
      </c>
      <c r="D342" s="12">
        <v>226333335</v>
      </c>
      <c r="E342" s="12">
        <f t="shared" si="12"/>
        <v>6327.1087722240854</v>
      </c>
      <c r="F342" s="12">
        <v>219</v>
      </c>
    </row>
    <row r="343" spans="1:8" x14ac:dyDescent="0.2">
      <c r="A343"/>
      <c r="B343" t="s">
        <v>417</v>
      </c>
      <c r="C343" s="11">
        <f>61+1995</f>
        <v>2056</v>
      </c>
      <c r="D343" s="11">
        <f>7835352+182610390</f>
        <v>190445742</v>
      </c>
      <c r="E343" s="11">
        <f t="shared" si="12"/>
        <v>7719.1043287937746</v>
      </c>
      <c r="F343" s="11">
        <f>3+656</f>
        <v>659</v>
      </c>
    </row>
    <row r="344" spans="1:8" x14ac:dyDescent="0.2">
      <c r="B344" s="17" t="s">
        <v>422</v>
      </c>
    </row>
    <row r="346" spans="1:8" x14ac:dyDescent="0.2">
      <c r="B346" s="2"/>
      <c r="C346" s="2"/>
      <c r="D346" s="2"/>
      <c r="E346" s="2"/>
      <c r="F346" s="2"/>
    </row>
    <row r="347" spans="1:8" x14ac:dyDescent="0.2">
      <c r="B347" s="2"/>
      <c r="C347" s="2"/>
      <c r="D347" s="2"/>
      <c r="E347" s="2"/>
      <c r="F347" s="2"/>
    </row>
    <row r="348" spans="1:8" x14ac:dyDescent="0.2">
      <c r="B348" s="2"/>
      <c r="C348" s="2"/>
      <c r="D348" s="2"/>
      <c r="E348" s="2"/>
      <c r="F348" s="2"/>
    </row>
    <row r="349" spans="1:8" x14ac:dyDescent="0.2">
      <c r="B349" s="2"/>
      <c r="C349" s="2"/>
      <c r="D349" s="2"/>
      <c r="E349" s="2"/>
      <c r="F349" s="2"/>
    </row>
    <row r="351" spans="1:8" x14ac:dyDescent="0.2">
      <c r="C351" s="3" t="s">
        <v>82</v>
      </c>
      <c r="D351" s="3"/>
      <c r="E351" s="3" t="s">
        <v>82</v>
      </c>
      <c r="F351" s="3"/>
    </row>
    <row r="352" spans="1:8" x14ac:dyDescent="0.2">
      <c r="C352" s="3" t="s">
        <v>83</v>
      </c>
      <c r="D352" s="3"/>
      <c r="E352" s="3" t="s">
        <v>85</v>
      </c>
      <c r="F352" s="3" t="s">
        <v>86</v>
      </c>
    </row>
    <row r="353" spans="1:6" x14ac:dyDescent="0.2">
      <c r="C353" s="3" t="s">
        <v>84</v>
      </c>
      <c r="D353" s="3" t="s">
        <v>88</v>
      </c>
      <c r="E353" s="3" t="s">
        <v>89</v>
      </c>
      <c r="F353" s="3" t="s">
        <v>87</v>
      </c>
    </row>
    <row r="354" spans="1:6" x14ac:dyDescent="0.2">
      <c r="C354" s="3"/>
      <c r="D354" s="3"/>
      <c r="E354" s="3"/>
      <c r="F354" s="3"/>
    </row>
    <row r="355" spans="1:6" x14ac:dyDescent="0.2">
      <c r="A355"/>
      <c r="B355" t="s">
        <v>273</v>
      </c>
      <c r="C355" s="11">
        <f>SUM(C356:C357)</f>
        <v>14613</v>
      </c>
      <c r="D355" s="11">
        <f>SUM(D356:D357)</f>
        <v>767325545</v>
      </c>
      <c r="E355" s="11">
        <f t="shared" ref="E355:E360" si="13">(D355/C355)/12</f>
        <v>4375.8157405506508</v>
      </c>
      <c r="F355" s="11">
        <f>SUM(F356:F357)</f>
        <v>2139</v>
      </c>
    </row>
    <row r="356" spans="1:6" x14ac:dyDescent="0.2">
      <c r="A356"/>
      <c r="B356" t="s">
        <v>383</v>
      </c>
      <c r="C356" s="11">
        <v>5838</v>
      </c>
      <c r="D356" s="11">
        <v>343287654</v>
      </c>
      <c r="E356" s="11">
        <f t="shared" si="13"/>
        <v>4900.1891915039396</v>
      </c>
      <c r="F356" s="11">
        <v>430</v>
      </c>
    </row>
    <row r="357" spans="1:6" x14ac:dyDescent="0.2">
      <c r="A357"/>
      <c r="B357" t="s">
        <v>384</v>
      </c>
      <c r="C357" s="11">
        <v>8775</v>
      </c>
      <c r="D357" s="11">
        <v>424037891</v>
      </c>
      <c r="E357" s="11">
        <f t="shared" si="13"/>
        <v>4026.9505318138654</v>
      </c>
      <c r="F357" s="11">
        <v>1709</v>
      </c>
    </row>
    <row r="358" spans="1:6" x14ac:dyDescent="0.2">
      <c r="A358"/>
      <c r="B358" t="s">
        <v>274</v>
      </c>
      <c r="C358" s="11">
        <f>+C359+C360</f>
        <v>1543</v>
      </c>
      <c r="D358" s="11">
        <f>+D359+D360</f>
        <v>92747842</v>
      </c>
      <c r="E358" s="11">
        <f t="shared" si="13"/>
        <v>5009.0647007993084</v>
      </c>
      <c r="F358" s="11">
        <f>+F359+F360</f>
        <v>67</v>
      </c>
    </row>
    <row r="359" spans="1:6" x14ac:dyDescent="0.2">
      <c r="A359"/>
      <c r="B359" t="s">
        <v>385</v>
      </c>
      <c r="C359" s="11">
        <v>145</v>
      </c>
      <c r="D359" s="11">
        <v>4189402</v>
      </c>
      <c r="E359" s="11">
        <f t="shared" si="13"/>
        <v>2407.7022988505746</v>
      </c>
      <c r="F359" s="11">
        <v>27</v>
      </c>
    </row>
    <row r="360" spans="1:6" x14ac:dyDescent="0.2">
      <c r="A360"/>
      <c r="B360" t="s">
        <v>400</v>
      </c>
      <c r="C360" s="11">
        <f>1398</f>
        <v>1398</v>
      </c>
      <c r="D360" s="11">
        <f>88558440</f>
        <v>88558440</v>
      </c>
      <c r="E360" s="11">
        <f t="shared" si="13"/>
        <v>5278.8769670958509</v>
      </c>
      <c r="F360" s="11">
        <v>40</v>
      </c>
    </row>
    <row r="361" spans="1:6" x14ac:dyDescent="0.2">
      <c r="A361"/>
      <c r="C361" s="11"/>
      <c r="D361" s="11"/>
      <c r="E361" s="11"/>
      <c r="F361" s="11"/>
    </row>
    <row r="362" spans="1:6" x14ac:dyDescent="0.2">
      <c r="A362"/>
      <c r="B362" s="2" t="s">
        <v>364</v>
      </c>
      <c r="C362" s="10">
        <f>+C363+C367+C372</f>
        <v>16245</v>
      </c>
      <c r="D362" s="10">
        <f>+D363+D367+D372</f>
        <v>579210235</v>
      </c>
      <c r="E362" s="10">
        <f t="shared" ref="E362:E369" si="14">(D362/C362)/12</f>
        <v>2971.2231199343387</v>
      </c>
      <c r="F362" s="10">
        <f>+F363+F367+F372</f>
        <v>4408</v>
      </c>
    </row>
    <row r="363" spans="1:6" x14ac:dyDescent="0.2">
      <c r="A363"/>
      <c r="B363" t="s">
        <v>275</v>
      </c>
      <c r="C363" s="11">
        <f>SUM(C364:C366)</f>
        <v>11562</v>
      </c>
      <c r="D363" s="11">
        <f>SUM(D364:D366)</f>
        <v>405824287</v>
      </c>
      <c r="E363" s="11">
        <f t="shared" si="14"/>
        <v>2924.9862120163757</v>
      </c>
      <c r="F363" s="11">
        <f>SUM(F364:F366)</f>
        <v>3814</v>
      </c>
    </row>
    <row r="364" spans="1:6" x14ac:dyDescent="0.2">
      <c r="A364"/>
      <c r="B364" t="s">
        <v>276</v>
      </c>
      <c r="C364" s="11">
        <v>3540</v>
      </c>
      <c r="D364" s="11">
        <v>106672309</v>
      </c>
      <c r="E364" s="11">
        <f t="shared" si="14"/>
        <v>2511.1183851224105</v>
      </c>
      <c r="F364" s="11">
        <v>650</v>
      </c>
    </row>
    <row r="365" spans="1:6" x14ac:dyDescent="0.2">
      <c r="A365"/>
      <c r="B365" t="s">
        <v>277</v>
      </c>
      <c r="C365" s="11">
        <f>2702-6</f>
        <v>2696</v>
      </c>
      <c r="D365" s="11">
        <f>101666719-51891</f>
        <v>101614828</v>
      </c>
      <c r="E365" s="11">
        <f t="shared" si="14"/>
        <v>3140.913328387735</v>
      </c>
      <c r="F365" s="11">
        <f>1958-19</f>
        <v>1939</v>
      </c>
    </row>
    <row r="366" spans="1:6" x14ac:dyDescent="0.2">
      <c r="A366"/>
      <c r="B366" t="s">
        <v>278</v>
      </c>
      <c r="C366" s="11">
        <v>5326</v>
      </c>
      <c r="D366" s="11">
        <v>197537150</v>
      </c>
      <c r="E366" s="11">
        <f t="shared" si="14"/>
        <v>3090.7677744398547</v>
      </c>
      <c r="F366" s="11">
        <v>1225</v>
      </c>
    </row>
    <row r="367" spans="1:6" x14ac:dyDescent="0.2">
      <c r="A367"/>
      <c r="B367" t="s">
        <v>279</v>
      </c>
      <c r="C367" s="11">
        <f>SUM(C368:C371)</f>
        <v>4503</v>
      </c>
      <c r="D367" s="11">
        <f>SUM(D368:D371)</f>
        <v>164186462</v>
      </c>
      <c r="E367" s="11">
        <f t="shared" si="14"/>
        <v>3038.464394107632</v>
      </c>
      <c r="F367" s="11">
        <f>SUM(F368:F371)</f>
        <v>558</v>
      </c>
    </row>
    <row r="368" spans="1:6" x14ac:dyDescent="0.2">
      <c r="A368" s="3"/>
      <c r="B368" t="s">
        <v>280</v>
      </c>
      <c r="C368" s="12">
        <v>1101</v>
      </c>
      <c r="D368" s="12">
        <v>37336804</v>
      </c>
      <c r="E368" s="12">
        <f t="shared" si="14"/>
        <v>2825.9766878595219</v>
      </c>
      <c r="F368" s="12">
        <v>106</v>
      </c>
    </row>
    <row r="369" spans="1:11" x14ac:dyDescent="0.2">
      <c r="A369"/>
      <c r="B369" t="s">
        <v>281</v>
      </c>
      <c r="C369" s="11">
        <v>1656</v>
      </c>
      <c r="D369" s="11">
        <v>42861752</v>
      </c>
      <c r="E369" s="11">
        <f t="shared" si="14"/>
        <v>2156.8917069243157</v>
      </c>
      <c r="F369" s="11">
        <v>236</v>
      </c>
    </row>
    <row r="370" spans="1:11" x14ac:dyDescent="0.2">
      <c r="A370"/>
      <c r="B370" t="s">
        <v>282</v>
      </c>
      <c r="C370" s="11">
        <v>413</v>
      </c>
      <c r="D370" s="11">
        <v>14931603</v>
      </c>
      <c r="E370" s="11">
        <f t="shared" si="12"/>
        <v>3012.833535108959</v>
      </c>
      <c r="F370" s="11">
        <v>50</v>
      </c>
    </row>
    <row r="371" spans="1:11" x14ac:dyDescent="0.2">
      <c r="A371"/>
      <c r="B371" t="s">
        <v>283</v>
      </c>
      <c r="C371" s="11">
        <v>1333</v>
      </c>
      <c r="D371" s="11">
        <v>69056303</v>
      </c>
      <c r="E371" s="11">
        <f t="shared" si="12"/>
        <v>4317.0982120530134</v>
      </c>
      <c r="F371" s="11">
        <v>166</v>
      </c>
    </row>
    <row r="372" spans="1:11" x14ac:dyDescent="0.2">
      <c r="A372"/>
      <c r="B372" t="s">
        <v>284</v>
      </c>
      <c r="C372" s="11">
        <f>+C373</f>
        <v>180</v>
      </c>
      <c r="D372" s="11">
        <f>+D373</f>
        <v>9199486</v>
      </c>
      <c r="E372" s="11">
        <f t="shared" si="12"/>
        <v>4259.0212962962969</v>
      </c>
      <c r="F372" s="11">
        <f>+F373</f>
        <v>36</v>
      </c>
    </row>
    <row r="373" spans="1:11" x14ac:dyDescent="0.2">
      <c r="A373"/>
      <c r="B373" t="s">
        <v>285</v>
      </c>
      <c r="C373" s="11">
        <v>180</v>
      </c>
      <c r="D373" s="11">
        <v>9199486</v>
      </c>
      <c r="E373" s="11">
        <f t="shared" si="12"/>
        <v>4259.0212962962969</v>
      </c>
      <c r="F373" s="11">
        <v>36</v>
      </c>
    </row>
    <row r="374" spans="1:11" x14ac:dyDescent="0.2">
      <c r="A374"/>
      <c r="C374" s="11"/>
      <c r="D374" s="11"/>
      <c r="E374" s="11"/>
      <c r="F374" s="11"/>
      <c r="H374" s="4"/>
      <c r="I374" s="4"/>
      <c r="J374" s="4"/>
      <c r="K374" s="4"/>
    </row>
    <row r="375" spans="1:11" x14ac:dyDescent="0.2">
      <c r="A375"/>
      <c r="B375" s="2" t="s">
        <v>365</v>
      </c>
      <c r="C375" s="10">
        <f>+C376</f>
        <v>65226</v>
      </c>
      <c r="D375" s="10">
        <f>+D376</f>
        <v>3887959385</v>
      </c>
      <c r="E375" s="10">
        <f t="shared" si="12"/>
        <v>4967.2924204560559</v>
      </c>
      <c r="F375" s="10">
        <f>+F376</f>
        <v>10312</v>
      </c>
    </row>
    <row r="376" spans="1:11" x14ac:dyDescent="0.2">
      <c r="A376"/>
      <c r="B376" t="s">
        <v>286</v>
      </c>
      <c r="C376" s="11">
        <f>SUM(C377:C385)</f>
        <v>65226</v>
      </c>
      <c r="D376" s="11">
        <f>SUM(D377:D385)</f>
        <v>3887959385</v>
      </c>
      <c r="E376" s="11">
        <f t="shared" si="12"/>
        <v>4967.2924204560559</v>
      </c>
      <c r="F376" s="11">
        <f>SUM(F377:F385)</f>
        <v>10312</v>
      </c>
    </row>
    <row r="377" spans="1:11" x14ac:dyDescent="0.2">
      <c r="A377"/>
      <c r="B377" t="s">
        <v>287</v>
      </c>
      <c r="C377" s="11">
        <v>8431</v>
      </c>
      <c r="D377" s="11">
        <v>602711668</v>
      </c>
      <c r="E377" s="11">
        <f t="shared" si="12"/>
        <v>5957.297157316254</v>
      </c>
      <c r="F377" s="11">
        <v>1353</v>
      </c>
    </row>
    <row r="378" spans="1:11" x14ac:dyDescent="0.2">
      <c r="A378"/>
      <c r="B378" t="s">
        <v>288</v>
      </c>
      <c r="C378" s="11">
        <v>6710</v>
      </c>
      <c r="D378" s="11">
        <v>290167829</v>
      </c>
      <c r="E378" s="11">
        <f t="shared" si="12"/>
        <v>3603.6739816194731</v>
      </c>
      <c r="F378" s="11">
        <v>1350</v>
      </c>
    </row>
    <row r="379" spans="1:11" x14ac:dyDescent="0.2">
      <c r="A379"/>
      <c r="B379" t="s">
        <v>289</v>
      </c>
      <c r="C379" s="11">
        <v>12028</v>
      </c>
      <c r="D379" s="11">
        <v>746507122</v>
      </c>
      <c r="E379" s="11">
        <f t="shared" si="12"/>
        <v>5172.0092146103534</v>
      </c>
      <c r="F379" s="11">
        <v>1462</v>
      </c>
    </row>
    <row r="380" spans="1:11" x14ac:dyDescent="0.2">
      <c r="A380"/>
      <c r="B380" t="s">
        <v>290</v>
      </c>
      <c r="C380" s="11">
        <v>1147</v>
      </c>
      <c r="D380" s="11">
        <v>46266333</v>
      </c>
      <c r="E380" s="11">
        <f t="shared" si="12"/>
        <v>3361.4017000871841</v>
      </c>
      <c r="F380" s="11">
        <v>364</v>
      </c>
    </row>
    <row r="381" spans="1:11" x14ac:dyDescent="0.2">
      <c r="A381" s="3"/>
      <c r="B381" t="s">
        <v>291</v>
      </c>
      <c r="C381" s="12">
        <v>14988</v>
      </c>
      <c r="D381" s="12">
        <v>1088358304</v>
      </c>
      <c r="E381" s="12">
        <f t="shared" si="12"/>
        <v>6051.2760430566677</v>
      </c>
      <c r="F381" s="12">
        <v>2116</v>
      </c>
    </row>
    <row r="382" spans="1:11" x14ac:dyDescent="0.2">
      <c r="A382"/>
      <c r="B382" t="s">
        <v>292</v>
      </c>
      <c r="C382" s="11">
        <f>7755-1</f>
        <v>7754</v>
      </c>
      <c r="D382" s="11">
        <f>462698432-66003</f>
        <v>462632429</v>
      </c>
      <c r="E382" s="11">
        <f t="shared" si="12"/>
        <v>4971.9760661164128</v>
      </c>
      <c r="F382" s="11">
        <f>2478-451</f>
        <v>2027</v>
      </c>
    </row>
    <row r="383" spans="1:11" x14ac:dyDescent="0.2">
      <c r="A383"/>
      <c r="B383" t="s">
        <v>293</v>
      </c>
      <c r="C383" s="11">
        <v>4418</v>
      </c>
      <c r="D383" s="11">
        <v>322064555</v>
      </c>
      <c r="E383" s="11">
        <f t="shared" si="12"/>
        <v>6074.855798249585</v>
      </c>
      <c r="F383" s="11">
        <v>319</v>
      </c>
    </row>
    <row r="384" spans="1:11" x14ac:dyDescent="0.2">
      <c r="A384"/>
      <c r="B384" t="s">
        <v>294</v>
      </c>
      <c r="C384" s="11">
        <v>3634</v>
      </c>
      <c r="D384" s="11">
        <v>157979231</v>
      </c>
      <c r="E384" s="11">
        <f t="shared" si="12"/>
        <v>3622.7121399743169</v>
      </c>
      <c r="F384" s="11">
        <v>495</v>
      </c>
    </row>
    <row r="385" spans="1:6" x14ac:dyDescent="0.2">
      <c r="A385"/>
      <c r="B385" t="s">
        <v>295</v>
      </c>
      <c r="C385" s="11">
        <v>6116</v>
      </c>
      <c r="D385" s="11">
        <v>171271914</v>
      </c>
      <c r="E385" s="11">
        <f t="shared" si="12"/>
        <v>2333.6591726618703</v>
      </c>
      <c r="F385" s="11">
        <v>826</v>
      </c>
    </row>
    <row r="386" spans="1:6" x14ac:dyDescent="0.2">
      <c r="A386"/>
      <c r="C386" s="11"/>
      <c r="D386" s="11"/>
      <c r="E386" s="11"/>
      <c r="F386" s="11"/>
    </row>
    <row r="387" spans="1:6" x14ac:dyDescent="0.2">
      <c r="B387" s="17" t="s">
        <v>422</v>
      </c>
    </row>
    <row r="388" spans="1:6" x14ac:dyDescent="0.2">
      <c r="B388" s="2"/>
      <c r="C388" s="2"/>
      <c r="D388" s="2"/>
      <c r="E388" s="2"/>
      <c r="F388" s="2"/>
    </row>
    <row r="389" spans="1:6" x14ac:dyDescent="0.2">
      <c r="B389" s="2"/>
      <c r="C389" s="2"/>
      <c r="D389" s="2"/>
      <c r="E389" s="2"/>
      <c r="F389" s="2"/>
    </row>
    <row r="390" spans="1:6" x14ac:dyDescent="0.2">
      <c r="B390" s="2"/>
      <c r="C390" s="2"/>
      <c r="D390" s="2"/>
      <c r="E390" s="2"/>
      <c r="F390" s="2"/>
    </row>
    <row r="391" spans="1:6" x14ac:dyDescent="0.2">
      <c r="B391" s="2"/>
      <c r="C391" s="2"/>
      <c r="D391" s="2"/>
      <c r="E391" s="2"/>
      <c r="F391" s="2"/>
    </row>
    <row r="393" spans="1:6" x14ac:dyDescent="0.2">
      <c r="C393" s="3" t="s">
        <v>82</v>
      </c>
      <c r="D393" s="3"/>
      <c r="E393" s="3" t="s">
        <v>82</v>
      </c>
      <c r="F393" s="3"/>
    </row>
    <row r="394" spans="1:6" x14ac:dyDescent="0.2">
      <c r="C394" s="3" t="s">
        <v>83</v>
      </c>
      <c r="D394" s="3"/>
      <c r="E394" s="3" t="s">
        <v>85</v>
      </c>
      <c r="F394" s="3" t="s">
        <v>86</v>
      </c>
    </row>
    <row r="395" spans="1:6" x14ac:dyDescent="0.2">
      <c r="C395" s="3" t="s">
        <v>84</v>
      </c>
      <c r="D395" s="3" t="s">
        <v>88</v>
      </c>
      <c r="E395" s="3" t="s">
        <v>89</v>
      </c>
      <c r="F395" s="3" t="s">
        <v>87</v>
      </c>
    </row>
    <row r="396" spans="1:6" x14ac:dyDescent="0.2">
      <c r="A396"/>
      <c r="C396" s="11"/>
      <c r="D396" s="11"/>
      <c r="E396" s="11"/>
      <c r="F396" s="11"/>
    </row>
    <row r="397" spans="1:6" x14ac:dyDescent="0.2">
      <c r="A397"/>
      <c r="B397" s="2" t="s">
        <v>366</v>
      </c>
      <c r="C397" s="10">
        <f>+C398</f>
        <v>18627</v>
      </c>
      <c r="D397" s="10">
        <f>+D398</f>
        <v>1356248077</v>
      </c>
      <c r="E397" s="10">
        <f>+E398</f>
        <v>6067.5725067554267</v>
      </c>
      <c r="F397" s="10">
        <f>+F398</f>
        <v>494</v>
      </c>
    </row>
    <row r="398" spans="1:6" x14ac:dyDescent="0.2">
      <c r="A398"/>
      <c r="B398" t="s">
        <v>296</v>
      </c>
      <c r="C398" s="11">
        <f>+C399</f>
        <v>18627</v>
      </c>
      <c r="D398" s="11">
        <f>+D399</f>
        <v>1356248077</v>
      </c>
      <c r="E398" s="11">
        <f>(D398/C398)/12</f>
        <v>6067.5725067554267</v>
      </c>
      <c r="F398" s="11">
        <f>+F399</f>
        <v>494</v>
      </c>
    </row>
    <row r="399" spans="1:6" x14ac:dyDescent="0.2">
      <c r="A399"/>
      <c r="B399" t="s">
        <v>297</v>
      </c>
      <c r="C399" s="11">
        <v>18627</v>
      </c>
      <c r="D399" s="11">
        <v>1356248077</v>
      </c>
      <c r="E399" s="11">
        <f>(D399/C399)/12</f>
        <v>6067.5725067554267</v>
      </c>
      <c r="F399" s="11">
        <v>494</v>
      </c>
    </row>
    <row r="400" spans="1:6" x14ac:dyDescent="0.2">
      <c r="A400"/>
      <c r="C400" s="11"/>
      <c r="D400" s="11"/>
      <c r="E400" s="11"/>
      <c r="F400" s="11"/>
    </row>
    <row r="401" spans="1:6" x14ac:dyDescent="0.2">
      <c r="A401"/>
      <c r="B401" s="2" t="s">
        <v>367</v>
      </c>
      <c r="C401" s="10">
        <f>+C402+C411</f>
        <v>68484</v>
      </c>
      <c r="D401" s="10">
        <f>+D402+D411</f>
        <v>1891773037</v>
      </c>
      <c r="E401" s="10">
        <f t="shared" ref="E401:E410" si="15">(D401/C401)/12</f>
        <v>2301.9647375055974</v>
      </c>
      <c r="F401" s="10">
        <f>+F402+F411</f>
        <v>4918</v>
      </c>
    </row>
    <row r="402" spans="1:6" x14ac:dyDescent="0.2">
      <c r="A402"/>
      <c r="B402" t="s">
        <v>298</v>
      </c>
      <c r="C402" s="11">
        <f>SUM(C403:C410)</f>
        <v>64681</v>
      </c>
      <c r="D402" s="11">
        <f>SUM(D403:D410)</f>
        <v>1695801813</v>
      </c>
      <c r="E402" s="12">
        <f t="shared" si="15"/>
        <v>2184.8273488350519</v>
      </c>
      <c r="F402" s="11">
        <f>SUM(F403:F410)</f>
        <v>4685</v>
      </c>
    </row>
    <row r="403" spans="1:6" x14ac:dyDescent="0.2">
      <c r="A403" s="3"/>
      <c r="B403" t="s">
        <v>299</v>
      </c>
      <c r="C403" s="12">
        <v>2903</v>
      </c>
      <c r="D403" s="12">
        <v>155569988</v>
      </c>
      <c r="E403" s="12">
        <f t="shared" si="15"/>
        <v>4465.7821793546909</v>
      </c>
      <c r="F403" s="12">
        <v>628</v>
      </c>
    </row>
    <row r="404" spans="1:6" x14ac:dyDescent="0.2">
      <c r="A404"/>
      <c r="B404" t="s">
        <v>300</v>
      </c>
      <c r="C404" s="11">
        <v>290</v>
      </c>
      <c r="D404" s="11">
        <v>11793981</v>
      </c>
      <c r="E404" s="11">
        <f t="shared" si="15"/>
        <v>3389.0750000000003</v>
      </c>
      <c r="F404" s="11">
        <v>30</v>
      </c>
    </row>
    <row r="405" spans="1:6" x14ac:dyDescent="0.2">
      <c r="A405"/>
      <c r="B405" t="s">
        <v>301</v>
      </c>
      <c r="C405" s="11">
        <v>19271</v>
      </c>
      <c r="D405" s="11">
        <v>476791272</v>
      </c>
      <c r="E405" s="11">
        <f t="shared" si="15"/>
        <v>2061.7822635047482</v>
      </c>
      <c r="F405" s="11">
        <v>724</v>
      </c>
    </row>
    <row r="406" spans="1:6" x14ac:dyDescent="0.2">
      <c r="A406"/>
      <c r="B406" t="s">
        <v>302</v>
      </c>
      <c r="C406" s="11">
        <v>16253</v>
      </c>
      <c r="D406" s="11">
        <v>449161609</v>
      </c>
      <c r="E406" s="11">
        <f t="shared" si="15"/>
        <v>2302.9677033983471</v>
      </c>
      <c r="F406" s="11">
        <v>704</v>
      </c>
    </row>
    <row r="407" spans="1:6" x14ac:dyDescent="0.2">
      <c r="A407" s="3"/>
      <c r="B407" t="s">
        <v>303</v>
      </c>
      <c r="C407" s="12">
        <v>5186</v>
      </c>
      <c r="D407" s="12">
        <v>124878381</v>
      </c>
      <c r="E407" s="12">
        <f t="shared" si="15"/>
        <v>2006.6586482838411</v>
      </c>
      <c r="F407" s="12">
        <v>193</v>
      </c>
    </row>
    <row r="408" spans="1:6" x14ac:dyDescent="0.2">
      <c r="A408"/>
      <c r="B408" t="s">
        <v>304</v>
      </c>
      <c r="C408" s="11">
        <v>4900</v>
      </c>
      <c r="D408" s="11">
        <v>140012430</v>
      </c>
      <c r="E408" s="11">
        <f t="shared" si="15"/>
        <v>2381.1637755102042</v>
      </c>
      <c r="F408" s="11">
        <v>278</v>
      </c>
    </row>
    <row r="409" spans="1:6" x14ac:dyDescent="0.2">
      <c r="A409"/>
      <c r="B409" t="s">
        <v>305</v>
      </c>
      <c r="C409" s="11">
        <v>14324</v>
      </c>
      <c r="D409" s="11">
        <v>282461783</v>
      </c>
      <c r="E409" s="11">
        <f t="shared" si="15"/>
        <v>1643.2897177231687</v>
      </c>
      <c r="F409" s="11">
        <v>1936</v>
      </c>
    </row>
    <row r="410" spans="1:6" x14ac:dyDescent="0.2">
      <c r="A410"/>
      <c r="B410" t="s">
        <v>306</v>
      </c>
      <c r="C410" s="11">
        <v>1554</v>
      </c>
      <c r="D410" s="11">
        <v>55132369</v>
      </c>
      <c r="E410" s="11">
        <f t="shared" si="15"/>
        <v>2956.476244101244</v>
      </c>
      <c r="F410" s="11">
        <v>192</v>
      </c>
    </row>
    <row r="411" spans="1:6" x14ac:dyDescent="0.2">
      <c r="A411"/>
      <c r="B411" t="s">
        <v>310</v>
      </c>
      <c r="C411" s="11">
        <f>SUM(C412:C414)</f>
        <v>3803</v>
      </c>
      <c r="D411" s="11">
        <f>SUM(D412:D414)</f>
        <v>195971224</v>
      </c>
      <c r="E411" s="11">
        <f t="shared" ref="E411:E413" si="16">(D411/C411)/12</f>
        <v>4294.2243842580419</v>
      </c>
      <c r="F411" s="11">
        <f>SUM(F412:F414)</f>
        <v>233</v>
      </c>
    </row>
    <row r="412" spans="1:6" x14ac:dyDescent="0.2">
      <c r="A412"/>
      <c r="B412" t="s">
        <v>307</v>
      </c>
      <c r="C412" s="11">
        <v>1043</v>
      </c>
      <c r="D412" s="11">
        <v>44061972</v>
      </c>
      <c r="E412" s="11">
        <f t="shared" si="16"/>
        <v>3520.4515819750718</v>
      </c>
      <c r="F412" s="11">
        <v>117</v>
      </c>
    </row>
    <row r="413" spans="1:6" x14ac:dyDescent="0.2">
      <c r="A413"/>
      <c r="B413" t="s">
        <v>308</v>
      </c>
      <c r="C413" s="11">
        <v>1827</v>
      </c>
      <c r="D413" s="11">
        <v>115223341</v>
      </c>
      <c r="E413" s="11">
        <f t="shared" si="16"/>
        <v>5255.5802317095422</v>
      </c>
      <c r="F413" s="11">
        <v>28</v>
      </c>
    </row>
    <row r="414" spans="1:6" x14ac:dyDescent="0.2">
      <c r="A414"/>
      <c r="B414" t="s">
        <v>309</v>
      </c>
      <c r="C414" s="11">
        <v>933</v>
      </c>
      <c r="D414" s="11">
        <v>36685911</v>
      </c>
      <c r="E414" s="11">
        <f t="shared" si="12"/>
        <v>3276.6980171489818</v>
      </c>
      <c r="F414" s="11">
        <v>88</v>
      </c>
    </row>
    <row r="415" spans="1:6" x14ac:dyDescent="0.2">
      <c r="A415"/>
      <c r="C415" s="11"/>
      <c r="D415" s="11"/>
      <c r="E415" s="11"/>
      <c r="F415" s="11"/>
    </row>
    <row r="416" spans="1:6" x14ac:dyDescent="0.2">
      <c r="A416"/>
      <c r="B416" s="2" t="s">
        <v>368</v>
      </c>
      <c r="C416" s="10">
        <f>+C417</f>
        <v>34766</v>
      </c>
      <c r="D416" s="10">
        <f>+D417</f>
        <v>967914666</v>
      </c>
      <c r="E416" s="10">
        <f t="shared" ref="E416:E499" si="17">(D416/C416)/12</f>
        <v>2320.0700540758212</v>
      </c>
      <c r="F416" s="10">
        <f>+F417</f>
        <v>1136</v>
      </c>
    </row>
    <row r="417" spans="1:6" x14ac:dyDescent="0.2">
      <c r="A417"/>
      <c r="B417" t="s">
        <v>311</v>
      </c>
      <c r="C417" s="12">
        <f>SUM(C418:C424)</f>
        <v>34766</v>
      </c>
      <c r="D417" s="12">
        <f>SUM(D418:D424)</f>
        <v>967914666</v>
      </c>
      <c r="E417" s="12">
        <f t="shared" si="17"/>
        <v>2320.0700540758212</v>
      </c>
      <c r="F417" s="12">
        <f>SUM(F418:F424)</f>
        <v>1136</v>
      </c>
    </row>
    <row r="418" spans="1:6" x14ac:dyDescent="0.2">
      <c r="A418"/>
      <c r="B418" t="s">
        <v>312</v>
      </c>
      <c r="C418" s="11">
        <v>6734</v>
      </c>
      <c r="D418" s="11">
        <v>184073869</v>
      </c>
      <c r="E418" s="11">
        <f t="shared" si="17"/>
        <v>2277.9164067914066</v>
      </c>
      <c r="F418" s="11">
        <v>150</v>
      </c>
    </row>
    <row r="419" spans="1:6" x14ac:dyDescent="0.2">
      <c r="A419"/>
      <c r="B419" t="s">
        <v>313</v>
      </c>
      <c r="C419" s="11">
        <v>1222</v>
      </c>
      <c r="D419" s="11">
        <v>41960196</v>
      </c>
      <c r="E419" s="11">
        <f t="shared" si="17"/>
        <v>2861.4427168576108</v>
      </c>
      <c r="F419" s="11">
        <v>19</v>
      </c>
    </row>
    <row r="420" spans="1:6" x14ac:dyDescent="0.2">
      <c r="A420"/>
      <c r="B420" t="s">
        <v>314</v>
      </c>
      <c r="C420" s="11">
        <v>19472</v>
      </c>
      <c r="D420" s="11">
        <v>506701834</v>
      </c>
      <c r="E420" s="11">
        <f t="shared" si="17"/>
        <v>2168.5062054916461</v>
      </c>
      <c r="F420" s="11">
        <v>56</v>
      </c>
    </row>
    <row r="421" spans="1:6" x14ac:dyDescent="0.2">
      <c r="A421"/>
      <c r="B421" t="s">
        <v>315</v>
      </c>
      <c r="C421" s="11">
        <v>1710</v>
      </c>
      <c r="D421" s="11">
        <v>95190420</v>
      </c>
      <c r="E421" s="11">
        <f t="shared" si="17"/>
        <v>4638.9093567251466</v>
      </c>
      <c r="F421" s="11">
        <v>132</v>
      </c>
    </row>
    <row r="422" spans="1:6" x14ac:dyDescent="0.2">
      <c r="A422" s="3"/>
      <c r="B422" t="s">
        <v>316</v>
      </c>
      <c r="C422" s="12">
        <v>1423</v>
      </c>
      <c r="D422" s="12">
        <v>39542912</v>
      </c>
      <c r="E422" s="12">
        <f t="shared" si="17"/>
        <v>2315.7011009604125</v>
      </c>
      <c r="F422" s="12">
        <v>123</v>
      </c>
    </row>
    <row r="423" spans="1:6" x14ac:dyDescent="0.2">
      <c r="A423"/>
      <c r="B423" t="s">
        <v>317</v>
      </c>
      <c r="C423" s="11">
        <v>3463</v>
      </c>
      <c r="D423" s="11">
        <v>79587272</v>
      </c>
      <c r="E423" s="11">
        <f t="shared" si="17"/>
        <v>1915.1812493984023</v>
      </c>
      <c r="F423" s="11">
        <v>522</v>
      </c>
    </row>
    <row r="424" spans="1:6" x14ac:dyDescent="0.2">
      <c r="A424"/>
      <c r="B424" t="s">
        <v>318</v>
      </c>
      <c r="C424" s="11">
        <v>742</v>
      </c>
      <c r="D424" s="11">
        <f>20856972+1191</f>
        <v>20858163</v>
      </c>
      <c r="E424" s="11">
        <f t="shared" si="17"/>
        <v>2342.5609838274931</v>
      </c>
      <c r="F424" s="11">
        <v>134</v>
      </c>
    </row>
    <row r="425" spans="1:6" x14ac:dyDescent="0.2">
      <c r="A425"/>
      <c r="C425" s="11"/>
      <c r="D425" s="11"/>
      <c r="E425" s="11"/>
      <c r="F425" s="11"/>
    </row>
    <row r="426" spans="1:6" x14ac:dyDescent="0.2">
      <c r="A426"/>
      <c r="B426" s="2" t="s">
        <v>369</v>
      </c>
      <c r="C426" s="10">
        <f>+C427+C446+C450+C455</f>
        <v>120238</v>
      </c>
      <c r="D426" s="10">
        <f>+D427+D446+D450+D455</f>
        <v>4463702386</v>
      </c>
      <c r="E426" s="10">
        <f t="shared" si="17"/>
        <v>3093.657569431738</v>
      </c>
      <c r="F426" s="10">
        <f>+F427+F446+F450+F455</f>
        <v>6639</v>
      </c>
    </row>
    <row r="427" spans="1:6" x14ac:dyDescent="0.2">
      <c r="A427"/>
      <c r="B427" t="s">
        <v>319</v>
      </c>
      <c r="C427" s="11">
        <f>SUM(C428:C445)</f>
        <v>49458</v>
      </c>
      <c r="D427" s="11">
        <f>+D428+D440+D441+D442+D443+D444+D445</f>
        <v>2163511982</v>
      </c>
      <c r="E427" s="11">
        <f t="shared" si="17"/>
        <v>3645.3691044253032</v>
      </c>
      <c r="F427" s="11">
        <f>SUM(F428:F445)</f>
        <v>5033</v>
      </c>
    </row>
    <row r="428" spans="1:6" x14ac:dyDescent="0.2">
      <c r="A428"/>
      <c r="B428" t="s">
        <v>320</v>
      </c>
      <c r="C428" s="11">
        <v>19772</v>
      </c>
      <c r="D428" s="11">
        <v>1209384048</v>
      </c>
      <c r="E428" s="11">
        <f t="shared" si="17"/>
        <v>5097.208375480478</v>
      </c>
      <c r="F428" s="11">
        <f>1734-138</f>
        <v>1596</v>
      </c>
    </row>
    <row r="430" spans="1:6" x14ac:dyDescent="0.2">
      <c r="B430" s="17" t="s">
        <v>422</v>
      </c>
    </row>
    <row r="431" spans="1:6" x14ac:dyDescent="0.2">
      <c r="B431" s="2"/>
      <c r="C431" s="2"/>
      <c r="D431" s="2"/>
      <c r="E431" s="2"/>
      <c r="F431" s="2"/>
    </row>
    <row r="432" spans="1:6" x14ac:dyDescent="0.2">
      <c r="B432" s="2"/>
      <c r="C432" s="2"/>
      <c r="D432" s="2"/>
      <c r="E432" s="2"/>
      <c r="F432" s="2"/>
    </row>
    <row r="433" spans="1:6" x14ac:dyDescent="0.2">
      <c r="B433" s="2"/>
      <c r="C433" s="2"/>
      <c r="D433" s="2"/>
      <c r="E433" s="2"/>
      <c r="F433" s="2"/>
    </row>
    <row r="434" spans="1:6" x14ac:dyDescent="0.2">
      <c r="B434" s="2"/>
      <c r="C434" s="2"/>
      <c r="D434" s="2"/>
      <c r="E434" s="2"/>
      <c r="F434" s="2"/>
    </row>
    <row r="436" spans="1:6" x14ac:dyDescent="0.2">
      <c r="C436" s="3" t="s">
        <v>82</v>
      </c>
      <c r="D436" s="3"/>
      <c r="E436" s="3" t="s">
        <v>82</v>
      </c>
      <c r="F436" s="3"/>
    </row>
    <row r="437" spans="1:6" x14ac:dyDescent="0.2">
      <c r="C437" s="3" t="s">
        <v>83</v>
      </c>
      <c r="D437" s="3"/>
      <c r="E437" s="3" t="s">
        <v>85</v>
      </c>
      <c r="F437" s="3" t="s">
        <v>86</v>
      </c>
    </row>
    <row r="438" spans="1:6" x14ac:dyDescent="0.2">
      <c r="C438" s="3" t="s">
        <v>84</v>
      </c>
      <c r="D438" s="3" t="s">
        <v>88</v>
      </c>
      <c r="E438" s="3" t="s">
        <v>89</v>
      </c>
      <c r="F438" s="3" t="s">
        <v>87</v>
      </c>
    </row>
    <row r="439" spans="1:6" x14ac:dyDescent="0.2">
      <c r="A439"/>
      <c r="C439" s="11"/>
      <c r="D439" s="11"/>
      <c r="E439" s="11"/>
      <c r="F439" s="11"/>
    </row>
    <row r="440" spans="1:6" x14ac:dyDescent="0.2">
      <c r="A440"/>
      <c r="B440" t="s">
        <v>321</v>
      </c>
      <c r="C440" s="11">
        <v>10676</v>
      </c>
      <c r="D440" s="11">
        <v>324339584</v>
      </c>
      <c r="E440" s="11">
        <f t="shared" ref="E440:E455" si="18">(D440/C440)/12</f>
        <v>2531.6877731984514</v>
      </c>
      <c r="F440" s="11">
        <v>1585</v>
      </c>
    </row>
    <row r="441" spans="1:6" x14ac:dyDescent="0.2">
      <c r="A441"/>
      <c r="B441" t="s">
        <v>322</v>
      </c>
      <c r="C441" s="11">
        <v>5897</v>
      </c>
      <c r="D441" s="11">
        <v>156364410</v>
      </c>
      <c r="E441" s="11">
        <f t="shared" si="18"/>
        <v>2209.6604205528233</v>
      </c>
      <c r="F441" s="11">
        <v>1281</v>
      </c>
    </row>
    <row r="442" spans="1:6" x14ac:dyDescent="0.2">
      <c r="A442"/>
      <c r="B442" t="s">
        <v>323</v>
      </c>
      <c r="C442" s="11">
        <v>2546</v>
      </c>
      <c r="D442" s="11">
        <v>103558436</v>
      </c>
      <c r="E442" s="12">
        <f t="shared" si="18"/>
        <v>3389.5796019900499</v>
      </c>
      <c r="F442" s="11">
        <v>159</v>
      </c>
    </row>
    <row r="443" spans="1:6" x14ac:dyDescent="0.2">
      <c r="A443" s="3"/>
      <c r="B443" t="s">
        <v>324</v>
      </c>
      <c r="C443" s="12">
        <v>3515</v>
      </c>
      <c r="D443" s="12">
        <v>147107310</v>
      </c>
      <c r="E443" s="12">
        <f t="shared" si="18"/>
        <v>3487.6081081081084</v>
      </c>
      <c r="F443" s="12">
        <v>109</v>
      </c>
    </row>
    <row r="444" spans="1:6" x14ac:dyDescent="0.2">
      <c r="A444"/>
      <c r="B444" t="s">
        <v>325</v>
      </c>
      <c r="C444" s="11">
        <v>5804</v>
      </c>
      <c r="D444" s="11">
        <v>180263376</v>
      </c>
      <c r="E444" s="11">
        <f t="shared" si="18"/>
        <v>2588.2060647829085</v>
      </c>
      <c r="F444" s="11">
        <v>239</v>
      </c>
    </row>
    <row r="445" spans="1:6" x14ac:dyDescent="0.2">
      <c r="A445"/>
      <c r="B445" t="s">
        <v>326</v>
      </c>
      <c r="C445" s="11">
        <v>1248</v>
      </c>
      <c r="D445" s="11">
        <v>42494818</v>
      </c>
      <c r="E445" s="11">
        <f t="shared" si="18"/>
        <v>2837.5279113247866</v>
      </c>
      <c r="F445" s="11">
        <v>64</v>
      </c>
    </row>
    <row r="446" spans="1:6" x14ac:dyDescent="0.2">
      <c r="A446"/>
      <c r="B446" t="s">
        <v>327</v>
      </c>
      <c r="C446" s="11">
        <f>SUM(C447:C449)</f>
        <v>32015</v>
      </c>
      <c r="D446" s="11">
        <f>SUM(D447:D449)</f>
        <v>1441444992</v>
      </c>
      <c r="E446" s="11">
        <f t="shared" si="18"/>
        <v>3752.0042480087463</v>
      </c>
      <c r="F446" s="11">
        <f>SUM(F447:F449)</f>
        <v>71</v>
      </c>
    </row>
    <row r="447" spans="1:6" x14ac:dyDescent="0.2">
      <c r="A447"/>
      <c r="B447" t="s">
        <v>328</v>
      </c>
      <c r="C447" s="11">
        <v>27910</v>
      </c>
      <c r="D447" s="11">
        <v>1265342177</v>
      </c>
      <c r="E447" s="11">
        <f t="shared" si="18"/>
        <v>3778.0430461005612</v>
      </c>
      <c r="F447" s="11">
        <v>57</v>
      </c>
    </row>
    <row r="448" spans="1:6" x14ac:dyDescent="0.2">
      <c r="A448"/>
      <c r="B448" t="s">
        <v>0</v>
      </c>
      <c r="C448" s="11">
        <v>474</v>
      </c>
      <c r="D448" s="11">
        <v>16059215</v>
      </c>
      <c r="E448" s="11">
        <f t="shared" si="18"/>
        <v>2823.350035161744</v>
      </c>
      <c r="F448" s="11">
        <v>6</v>
      </c>
    </row>
    <row r="449" spans="1:6" x14ac:dyDescent="0.2">
      <c r="A449"/>
      <c r="B449" t="s">
        <v>1</v>
      </c>
      <c r="C449" s="11">
        <v>3631</v>
      </c>
      <c r="D449" s="11">
        <v>160043600</v>
      </c>
      <c r="E449" s="11">
        <f t="shared" si="18"/>
        <v>3673.0836316900763</v>
      </c>
      <c r="F449" s="11">
        <v>8</v>
      </c>
    </row>
    <row r="450" spans="1:6" x14ac:dyDescent="0.2">
      <c r="A450"/>
      <c r="B450" t="s">
        <v>2</v>
      </c>
      <c r="C450" s="11">
        <f>SUM(C451:C454)</f>
        <v>22136</v>
      </c>
      <c r="D450" s="11">
        <f>SUM(D451:D454)</f>
        <v>506013218</v>
      </c>
      <c r="E450" s="11">
        <f t="shared" si="18"/>
        <v>1904.9407375617395</v>
      </c>
      <c r="F450" s="11">
        <f>SUM(F451:F454)</f>
        <v>528</v>
      </c>
    </row>
    <row r="451" spans="1:6" x14ac:dyDescent="0.2">
      <c r="A451"/>
      <c r="B451" t="s">
        <v>3</v>
      </c>
      <c r="C451" s="11">
        <v>9412</v>
      </c>
      <c r="D451" s="11">
        <v>249844642</v>
      </c>
      <c r="E451" s="11">
        <f t="shared" si="18"/>
        <v>2212.1107982717099</v>
      </c>
      <c r="F451" s="11">
        <v>137</v>
      </c>
    </row>
    <row r="452" spans="1:6" x14ac:dyDescent="0.2">
      <c r="A452"/>
      <c r="B452" t="s">
        <v>4</v>
      </c>
      <c r="C452" s="11">
        <v>6291</v>
      </c>
      <c r="D452" s="11">
        <v>131814844</v>
      </c>
      <c r="E452" s="11">
        <f t="shared" si="18"/>
        <v>1746.0769882901498</v>
      </c>
      <c r="F452" s="11">
        <v>205</v>
      </c>
    </row>
    <row r="453" spans="1:6" x14ac:dyDescent="0.2">
      <c r="A453"/>
      <c r="B453" t="s">
        <v>5</v>
      </c>
      <c r="C453" s="11">
        <v>4457</v>
      </c>
      <c r="D453" s="11">
        <v>74605200</v>
      </c>
      <c r="E453" s="11">
        <f t="shared" si="18"/>
        <v>1394.9068880412833</v>
      </c>
      <c r="F453" s="11">
        <v>131</v>
      </c>
    </row>
    <row r="454" spans="1:6" x14ac:dyDescent="0.2">
      <c r="A454"/>
      <c r="B454" t="s">
        <v>6</v>
      </c>
      <c r="C454" s="11">
        <v>1976</v>
      </c>
      <c r="D454" s="11">
        <v>49748532</v>
      </c>
      <c r="E454" s="11">
        <f t="shared" si="18"/>
        <v>2098.0318825910931</v>
      </c>
      <c r="F454" s="11">
        <v>55</v>
      </c>
    </row>
    <row r="455" spans="1:6" x14ac:dyDescent="0.2">
      <c r="A455"/>
      <c r="B455" t="s">
        <v>7</v>
      </c>
      <c r="C455" s="11">
        <f>SUM(C456:C459)</f>
        <v>16629</v>
      </c>
      <c r="D455" s="11">
        <f>SUM(D456:D459)</f>
        <v>352732194</v>
      </c>
      <c r="E455" s="11">
        <f t="shared" si="18"/>
        <v>1767.6558722713332</v>
      </c>
      <c r="F455" s="11">
        <f>SUM(F456:F459)</f>
        <v>1007</v>
      </c>
    </row>
    <row r="456" spans="1:6" x14ac:dyDescent="0.2">
      <c r="A456"/>
      <c r="B456" t="s">
        <v>8</v>
      </c>
      <c r="C456" s="11">
        <v>8249</v>
      </c>
      <c r="D456" s="11">
        <v>206110559</v>
      </c>
      <c r="E456" s="11">
        <f t="shared" si="17"/>
        <v>2082.1772235018384</v>
      </c>
      <c r="F456" s="11">
        <v>493</v>
      </c>
    </row>
    <row r="457" spans="1:6" x14ac:dyDescent="0.2">
      <c r="A457"/>
      <c r="B457" t="s">
        <v>9</v>
      </c>
      <c r="C457" s="11">
        <v>1031</v>
      </c>
      <c r="D457" s="11">
        <v>28887147</v>
      </c>
      <c r="E457" s="11">
        <f t="shared" si="17"/>
        <v>2334.8809408341417</v>
      </c>
      <c r="F457" s="11">
        <v>60</v>
      </c>
    </row>
    <row r="458" spans="1:6" x14ac:dyDescent="0.2">
      <c r="A458"/>
      <c r="B458" t="s">
        <v>10</v>
      </c>
      <c r="C458" s="11">
        <v>3028</v>
      </c>
      <c r="D458" s="11">
        <v>51483048</v>
      </c>
      <c r="E458" s="11">
        <f t="shared" si="17"/>
        <v>1416.8606340819024</v>
      </c>
      <c r="F458" s="11">
        <v>48</v>
      </c>
    </row>
    <row r="459" spans="1:6" x14ac:dyDescent="0.2">
      <c r="A459"/>
      <c r="B459" t="s">
        <v>11</v>
      </c>
      <c r="C459" s="11">
        <v>4321</v>
      </c>
      <c r="D459" s="11">
        <v>66251440</v>
      </c>
      <c r="E459" s="11">
        <f t="shared" si="17"/>
        <v>1277.7026922780221</v>
      </c>
      <c r="F459" s="11">
        <v>406</v>
      </c>
    </row>
    <row r="460" spans="1:6" x14ac:dyDescent="0.2">
      <c r="A460"/>
      <c r="C460" s="12"/>
      <c r="D460" s="12"/>
      <c r="E460" s="12"/>
      <c r="F460" s="12"/>
    </row>
    <row r="461" spans="1:6" x14ac:dyDescent="0.2">
      <c r="A461"/>
      <c r="B461" s="2" t="s">
        <v>370</v>
      </c>
      <c r="C461" s="10">
        <f>+C462+C468+C470</f>
        <v>17421</v>
      </c>
      <c r="D461" s="10">
        <f>+D462+D468+D470</f>
        <v>394866582</v>
      </c>
      <c r="E461" s="10">
        <f t="shared" si="17"/>
        <v>1888.8438378967912</v>
      </c>
      <c r="F461" s="10">
        <f>+F462+F468+F470</f>
        <v>963</v>
      </c>
    </row>
    <row r="462" spans="1:6" x14ac:dyDescent="0.2">
      <c r="A462"/>
      <c r="B462" t="s">
        <v>73</v>
      </c>
      <c r="C462" s="11">
        <f>SUM(C463:C467)</f>
        <v>3950</v>
      </c>
      <c r="D462" s="11">
        <f>SUM(D463:D467)</f>
        <v>170656322</v>
      </c>
      <c r="E462" s="11">
        <f t="shared" si="17"/>
        <v>3600.3443459915611</v>
      </c>
      <c r="F462" s="11">
        <f>SUM(F463:F467)</f>
        <v>382</v>
      </c>
    </row>
    <row r="463" spans="1:6" x14ac:dyDescent="0.2">
      <c r="A463"/>
      <c r="B463" t="s">
        <v>12</v>
      </c>
      <c r="C463" s="11">
        <v>911</v>
      </c>
      <c r="D463" s="11">
        <v>23653760</v>
      </c>
      <c r="E463" s="11">
        <f t="shared" si="17"/>
        <v>2163.7175265276251</v>
      </c>
      <c r="F463" s="11">
        <v>75</v>
      </c>
    </row>
    <row r="464" spans="1:6" x14ac:dyDescent="0.2">
      <c r="A464"/>
      <c r="B464" t="s">
        <v>13</v>
      </c>
      <c r="C464" s="11">
        <v>870</v>
      </c>
      <c r="D464" s="11">
        <v>107815593</v>
      </c>
      <c r="E464" s="11">
        <f t="shared" si="17"/>
        <v>10327.16408045977</v>
      </c>
      <c r="F464" s="11">
        <v>51</v>
      </c>
    </row>
    <row r="465" spans="1:6" x14ac:dyDescent="0.2">
      <c r="A465"/>
      <c r="B465" t="s">
        <v>14</v>
      </c>
      <c r="C465" s="11">
        <v>1827</v>
      </c>
      <c r="D465" s="11">
        <v>27630349</v>
      </c>
      <c r="E465" s="11">
        <f t="shared" si="17"/>
        <v>1260.2786444079547</v>
      </c>
      <c r="F465" s="11">
        <v>69</v>
      </c>
    </row>
    <row r="466" spans="1:6" x14ac:dyDescent="0.2">
      <c r="A466"/>
      <c r="B466" t="s">
        <v>15</v>
      </c>
      <c r="C466" s="11">
        <v>42</v>
      </c>
      <c r="D466" s="11">
        <v>1070857</v>
      </c>
      <c r="E466" s="11">
        <f t="shared" si="17"/>
        <v>2124.7162698412699</v>
      </c>
      <c r="F466" s="11">
        <v>22</v>
      </c>
    </row>
    <row r="467" spans="1:6" x14ac:dyDescent="0.2">
      <c r="A467" s="3"/>
      <c r="B467" t="s">
        <v>16</v>
      </c>
      <c r="C467" s="12">
        <v>300</v>
      </c>
      <c r="D467" s="12">
        <v>10485763</v>
      </c>
      <c r="E467" s="12">
        <f t="shared" si="17"/>
        <v>2912.7119444444447</v>
      </c>
      <c r="F467" s="12">
        <v>165</v>
      </c>
    </row>
    <row r="468" spans="1:6" x14ac:dyDescent="0.2">
      <c r="A468"/>
      <c r="B468" t="s">
        <v>17</v>
      </c>
      <c r="C468" s="11">
        <f>+C469</f>
        <v>920</v>
      </c>
      <c r="D468" s="11">
        <f>+D469</f>
        <v>18984802</v>
      </c>
      <c r="E468" s="11">
        <f t="shared" si="17"/>
        <v>1719.6378623188405</v>
      </c>
      <c r="F468" s="11">
        <f>+F469</f>
        <v>36</v>
      </c>
    </row>
    <row r="469" spans="1:6" x14ac:dyDescent="0.2">
      <c r="A469"/>
      <c r="B469" t="s">
        <v>386</v>
      </c>
      <c r="C469" s="11">
        <v>920</v>
      </c>
      <c r="D469" s="11">
        <v>18984802</v>
      </c>
      <c r="E469" s="11">
        <f t="shared" si="17"/>
        <v>1719.6378623188405</v>
      </c>
      <c r="F469" s="11">
        <v>36</v>
      </c>
    </row>
    <row r="470" spans="1:6" x14ac:dyDescent="0.2">
      <c r="A470"/>
      <c r="B470" t="s">
        <v>74</v>
      </c>
      <c r="C470" s="11">
        <f>SUM(C471:C472)</f>
        <v>12551</v>
      </c>
      <c r="D470" s="11">
        <f>SUM(D471:D472)</f>
        <v>205225458</v>
      </c>
      <c r="E470" s="11">
        <f t="shared" si="17"/>
        <v>1362.6102700980002</v>
      </c>
      <c r="F470" s="11">
        <f>SUM(F471:F472)</f>
        <v>545</v>
      </c>
    </row>
    <row r="471" spans="1:6" x14ac:dyDescent="0.2">
      <c r="A471"/>
      <c r="B471" t="s">
        <v>18</v>
      </c>
      <c r="C471" s="11">
        <v>1528</v>
      </c>
      <c r="D471" s="11">
        <v>20509007</v>
      </c>
      <c r="E471" s="11">
        <f t="shared" si="17"/>
        <v>1118.5104166666667</v>
      </c>
      <c r="F471" s="11">
        <v>18</v>
      </c>
    </row>
    <row r="472" spans="1:6" x14ac:dyDescent="0.2">
      <c r="A472"/>
      <c r="B472" t="s">
        <v>418</v>
      </c>
      <c r="C472" s="11">
        <v>11023</v>
      </c>
      <c r="D472" s="11">
        <v>184716451</v>
      </c>
      <c r="E472" s="11">
        <f t="shared" si="17"/>
        <v>1396.4472088663099</v>
      </c>
      <c r="F472" s="11">
        <v>527</v>
      </c>
    </row>
    <row r="473" spans="1:6" x14ac:dyDescent="0.2">
      <c r="A473"/>
      <c r="B473" s="17" t="s">
        <v>422</v>
      </c>
      <c r="C473" s="11"/>
      <c r="D473" s="11"/>
      <c r="E473" s="11"/>
      <c r="F473" s="11"/>
    </row>
    <row r="474" spans="1:6" x14ac:dyDescent="0.2">
      <c r="B474" s="2"/>
      <c r="C474" s="2"/>
      <c r="D474" s="2"/>
      <c r="E474" s="2"/>
      <c r="F474" s="2"/>
    </row>
    <row r="475" spans="1:6" x14ac:dyDescent="0.2">
      <c r="B475" s="2"/>
      <c r="C475" s="2"/>
      <c r="D475" s="2"/>
      <c r="E475" s="2"/>
      <c r="F475" s="2"/>
    </row>
    <row r="476" spans="1:6" x14ac:dyDescent="0.2">
      <c r="B476" s="2"/>
      <c r="C476" s="2"/>
      <c r="D476" s="2"/>
      <c r="E476" s="2"/>
      <c r="F476" s="2"/>
    </row>
    <row r="477" spans="1:6" x14ac:dyDescent="0.2">
      <c r="B477" s="2"/>
      <c r="C477" s="2"/>
      <c r="D477" s="2"/>
      <c r="E477" s="2"/>
      <c r="F477" s="2"/>
    </row>
    <row r="479" spans="1:6" x14ac:dyDescent="0.2">
      <c r="C479" s="3" t="s">
        <v>82</v>
      </c>
      <c r="D479" s="3"/>
      <c r="E479" s="3" t="s">
        <v>82</v>
      </c>
      <c r="F479" s="3"/>
    </row>
    <row r="480" spans="1:6" x14ac:dyDescent="0.2">
      <c r="C480" s="3" t="s">
        <v>83</v>
      </c>
      <c r="D480" s="3"/>
      <c r="E480" s="3" t="s">
        <v>85</v>
      </c>
      <c r="F480" s="3" t="s">
        <v>86</v>
      </c>
    </row>
    <row r="481" spans="1:6" x14ac:dyDescent="0.2">
      <c r="C481" s="3" t="s">
        <v>84</v>
      </c>
      <c r="D481" s="3" t="s">
        <v>88</v>
      </c>
      <c r="E481" s="3" t="s">
        <v>89</v>
      </c>
      <c r="F481" s="3" t="s">
        <v>87</v>
      </c>
    </row>
    <row r="482" spans="1:6" x14ac:dyDescent="0.2">
      <c r="A482"/>
      <c r="C482" s="11"/>
      <c r="D482" s="11"/>
      <c r="E482" s="11"/>
      <c r="F482" s="11"/>
    </row>
    <row r="483" spans="1:6" x14ac:dyDescent="0.2">
      <c r="A483"/>
      <c r="B483" s="2" t="s">
        <v>371</v>
      </c>
      <c r="C483" s="10">
        <f>+C484+C488</f>
        <v>93198</v>
      </c>
      <c r="D483" s="10">
        <f>+D484+D488</f>
        <v>1364782681</v>
      </c>
      <c r="E483" s="10">
        <f t="shared" ref="E483:E492" si="19">(D483/C483)/12</f>
        <v>1220.3254370623117</v>
      </c>
      <c r="F483" s="10">
        <f>+F484+F488</f>
        <v>4776</v>
      </c>
    </row>
    <row r="484" spans="1:6" x14ac:dyDescent="0.2">
      <c r="A484"/>
      <c r="B484" t="s">
        <v>19</v>
      </c>
      <c r="C484" s="11">
        <f>SUM(C485:C487)</f>
        <v>17508</v>
      </c>
      <c r="D484" s="11">
        <f>SUM(D485:D487)</f>
        <v>359786233</v>
      </c>
      <c r="E484" s="11">
        <f t="shared" si="19"/>
        <v>1712.4849259386185</v>
      </c>
      <c r="F484" s="11">
        <f>SUM(F485:F487)</f>
        <v>679</v>
      </c>
    </row>
    <row r="485" spans="1:6" x14ac:dyDescent="0.2">
      <c r="A485"/>
      <c r="B485" t="s">
        <v>20</v>
      </c>
      <c r="C485" s="11">
        <v>16939</v>
      </c>
      <c r="D485" s="11">
        <v>350475359</v>
      </c>
      <c r="E485" s="11">
        <f t="shared" si="19"/>
        <v>1724.2033128677413</v>
      </c>
      <c r="F485" s="11">
        <v>604</v>
      </c>
    </row>
    <row r="486" spans="1:6" x14ac:dyDescent="0.2">
      <c r="A486"/>
      <c r="B486" t="s">
        <v>21</v>
      </c>
      <c r="C486" s="11">
        <v>504</v>
      </c>
      <c r="D486" s="11">
        <v>8130158</v>
      </c>
      <c r="E486" s="11">
        <f t="shared" si="19"/>
        <v>1344.272156084656</v>
      </c>
      <c r="F486" s="11">
        <v>62</v>
      </c>
    </row>
    <row r="487" spans="1:6" x14ac:dyDescent="0.2">
      <c r="A487"/>
      <c r="B487" t="s">
        <v>22</v>
      </c>
      <c r="C487" s="11">
        <v>65</v>
      </c>
      <c r="D487" s="11">
        <v>1180716</v>
      </c>
      <c r="E487" s="11">
        <f t="shared" si="19"/>
        <v>1513.7384615384615</v>
      </c>
      <c r="F487" s="11">
        <v>13</v>
      </c>
    </row>
    <row r="488" spans="1:6" x14ac:dyDescent="0.2">
      <c r="A488"/>
      <c r="B488" t="s">
        <v>23</v>
      </c>
      <c r="C488" s="11">
        <f>SUM(C489:C492)</f>
        <v>75690</v>
      </c>
      <c r="D488" s="11">
        <f>SUM(D489:D492)</f>
        <v>1004996448</v>
      </c>
      <c r="E488" s="12">
        <f t="shared" si="19"/>
        <v>1106.4830757035277</v>
      </c>
      <c r="F488" s="11">
        <f>SUM(F489:F492)</f>
        <v>4097</v>
      </c>
    </row>
    <row r="489" spans="1:6" x14ac:dyDescent="0.2">
      <c r="A489" s="3"/>
      <c r="B489" t="s">
        <v>24</v>
      </c>
      <c r="C489" s="12">
        <v>32227</v>
      </c>
      <c r="D489" s="12">
        <v>463728116</v>
      </c>
      <c r="E489" s="12">
        <f t="shared" si="19"/>
        <v>1199.1190513130812</v>
      </c>
      <c r="F489" s="12">
        <v>1374</v>
      </c>
    </row>
    <row r="490" spans="1:6" x14ac:dyDescent="0.2">
      <c r="A490"/>
      <c r="B490" t="s">
        <v>25</v>
      </c>
      <c r="C490" s="11">
        <f>38511-42</f>
        <v>38469</v>
      </c>
      <c r="D490" s="11">
        <f>465826359-365229</f>
        <v>465461130</v>
      </c>
      <c r="E490" s="11">
        <f t="shared" si="19"/>
        <v>1008.3035041202006</v>
      </c>
      <c r="F490" s="11">
        <v>2423</v>
      </c>
    </row>
    <row r="491" spans="1:6" x14ac:dyDescent="0.2">
      <c r="A491"/>
      <c r="B491" t="s">
        <v>26</v>
      </c>
      <c r="C491" s="11">
        <v>2640</v>
      </c>
      <c r="D491" s="11">
        <v>50335401</v>
      </c>
      <c r="E491" s="11">
        <f t="shared" si="19"/>
        <v>1588.8699810606061</v>
      </c>
      <c r="F491" s="11">
        <v>61</v>
      </c>
    </row>
    <row r="492" spans="1:6" x14ac:dyDescent="0.2">
      <c r="A492"/>
      <c r="B492" t="s">
        <v>27</v>
      </c>
      <c r="C492" s="11">
        <v>2354</v>
      </c>
      <c r="D492" s="12">
        <f>25464325+7476</f>
        <v>25471801</v>
      </c>
      <c r="E492" s="11">
        <f t="shared" si="19"/>
        <v>901.72051118663273</v>
      </c>
      <c r="F492" s="11">
        <v>239</v>
      </c>
    </row>
    <row r="493" spans="1:6" x14ac:dyDescent="0.2">
      <c r="A493"/>
      <c r="C493" s="11"/>
      <c r="D493" s="11"/>
      <c r="E493" s="11"/>
      <c r="F493" s="11"/>
    </row>
    <row r="494" spans="1:6" x14ac:dyDescent="0.2">
      <c r="A494"/>
      <c r="B494" s="2" t="s">
        <v>372</v>
      </c>
      <c r="C494" s="10">
        <f>+C495+C500+C505+C511</f>
        <v>33699</v>
      </c>
      <c r="D494" s="10">
        <f>+D495+D500+D505+D511</f>
        <v>955447915</v>
      </c>
      <c r="E494" s="10">
        <f>(D494/C494)/12</f>
        <v>2362.7009579908404</v>
      </c>
      <c r="F494" s="10">
        <f>+F495+F500+F505+F511</f>
        <v>4758</v>
      </c>
    </row>
    <row r="495" spans="1:6" x14ac:dyDescent="0.2">
      <c r="A495"/>
      <c r="B495" t="s">
        <v>28</v>
      </c>
      <c r="C495" s="11">
        <f>SUM(C496:C499)</f>
        <v>12445</v>
      </c>
      <c r="D495" s="11">
        <f>SUM(D496:D499)</f>
        <v>423366430</v>
      </c>
      <c r="E495" s="11">
        <f>(D495/C495)/12</f>
        <v>2834.9164992634255</v>
      </c>
      <c r="F495" s="11">
        <f>SUM(F496:F499)</f>
        <v>2316</v>
      </c>
    </row>
    <row r="496" spans="1:6" x14ac:dyDescent="0.2">
      <c r="A496"/>
      <c r="B496" t="s">
        <v>29</v>
      </c>
      <c r="C496" s="11">
        <v>8852</v>
      </c>
      <c r="D496" s="11">
        <v>249840501</v>
      </c>
      <c r="E496" s="11">
        <f>(D496/C496)/12</f>
        <v>2352.0155614550386</v>
      </c>
      <c r="F496" s="11">
        <v>1628</v>
      </c>
    </row>
    <row r="497" spans="1:6" x14ac:dyDescent="0.2">
      <c r="A497"/>
      <c r="B497" t="s">
        <v>30</v>
      </c>
      <c r="C497" s="11">
        <v>775</v>
      </c>
      <c r="D497" s="11">
        <v>37297243</v>
      </c>
      <c r="E497" s="11">
        <f>(D497/C497)/12</f>
        <v>4010.4562365591396</v>
      </c>
      <c r="F497" s="11">
        <v>171</v>
      </c>
    </row>
    <row r="498" spans="1:6" x14ac:dyDescent="0.2">
      <c r="A498"/>
      <c r="B498" t="s">
        <v>31</v>
      </c>
      <c r="C498" s="11">
        <v>2264</v>
      </c>
      <c r="D498" s="11">
        <v>122381348</v>
      </c>
      <c r="E498" s="11">
        <f>(D498/C498)/12</f>
        <v>4504.6138103651356</v>
      </c>
      <c r="F498" s="11">
        <v>333</v>
      </c>
    </row>
    <row r="499" spans="1:6" x14ac:dyDescent="0.2">
      <c r="A499"/>
      <c r="B499" t="s">
        <v>32</v>
      </c>
      <c r="C499" s="11">
        <v>554</v>
      </c>
      <c r="D499" s="11">
        <v>13847338</v>
      </c>
      <c r="E499" s="11">
        <f t="shared" si="17"/>
        <v>2082.9329121540313</v>
      </c>
      <c r="F499" s="11">
        <v>184</v>
      </c>
    </row>
    <row r="500" spans="1:6" x14ac:dyDescent="0.2">
      <c r="A500" s="3"/>
      <c r="B500" t="s">
        <v>33</v>
      </c>
      <c r="C500" s="12">
        <f>SUM(C501:C504)</f>
        <v>10333</v>
      </c>
      <c r="D500" s="12">
        <f>SUM(D501:D504)</f>
        <v>192703136</v>
      </c>
      <c r="E500" s="12">
        <f t="shared" ref="E500:E588" si="20">(D500/C500)/12</f>
        <v>1554.107680892932</v>
      </c>
      <c r="F500" s="12">
        <f>SUM(F501:F504)</f>
        <v>1511</v>
      </c>
    </row>
    <row r="501" spans="1:6" x14ac:dyDescent="0.2">
      <c r="A501"/>
      <c r="B501" t="s">
        <v>34</v>
      </c>
      <c r="C501" s="11">
        <v>5212</v>
      </c>
      <c r="D501" s="11">
        <v>74514672</v>
      </c>
      <c r="E501" s="11">
        <f t="shared" si="20"/>
        <v>1191.3960092095165</v>
      </c>
      <c r="F501" s="11">
        <v>903</v>
      </c>
    </row>
    <row r="502" spans="1:6" x14ac:dyDescent="0.2">
      <c r="A502"/>
      <c r="B502" t="s">
        <v>35</v>
      </c>
      <c r="C502" s="11">
        <v>788</v>
      </c>
      <c r="D502" s="11">
        <v>26788628</v>
      </c>
      <c r="E502" s="11">
        <f t="shared" si="20"/>
        <v>2832.9767343485619</v>
      </c>
      <c r="F502" s="11">
        <v>91</v>
      </c>
    </row>
    <row r="503" spans="1:6" x14ac:dyDescent="0.2">
      <c r="A503"/>
      <c r="B503" t="s">
        <v>36</v>
      </c>
      <c r="C503" s="11">
        <v>2326</v>
      </c>
      <c r="D503" s="11">
        <v>51634320</v>
      </c>
      <c r="E503" s="11">
        <f t="shared" si="20"/>
        <v>1849.8968185726569</v>
      </c>
      <c r="F503" s="11">
        <v>219</v>
      </c>
    </row>
    <row r="504" spans="1:6" x14ac:dyDescent="0.2">
      <c r="A504"/>
      <c r="B504" t="s">
        <v>37</v>
      </c>
      <c r="C504" s="11">
        <v>2007</v>
      </c>
      <c r="D504" s="11">
        <v>39765516</v>
      </c>
      <c r="E504" s="11">
        <f t="shared" si="20"/>
        <v>1651.1175884404583</v>
      </c>
      <c r="F504" s="11">
        <v>298</v>
      </c>
    </row>
    <row r="505" spans="1:6" x14ac:dyDescent="0.2">
      <c r="A505"/>
      <c r="B505" t="s">
        <v>38</v>
      </c>
      <c r="C505" s="11">
        <f>SUM(C506:C510)</f>
        <v>10848</v>
      </c>
      <c r="D505" s="11">
        <f>SUM(D506:D510)</f>
        <v>335165091</v>
      </c>
      <c r="E505" s="11">
        <f t="shared" si="20"/>
        <v>2574.7072501843659</v>
      </c>
      <c r="F505" s="11">
        <f>SUM(F506:F510)</f>
        <v>869</v>
      </c>
    </row>
    <row r="506" spans="1:6" x14ac:dyDescent="0.2">
      <c r="A506"/>
      <c r="B506" t="s">
        <v>39</v>
      </c>
      <c r="C506" s="11">
        <v>6451</v>
      </c>
      <c r="D506" s="11">
        <v>183568380</v>
      </c>
      <c r="E506" s="11">
        <f t="shared" si="20"/>
        <v>2371.3168501007594</v>
      </c>
      <c r="F506" s="11">
        <v>243</v>
      </c>
    </row>
    <row r="507" spans="1:6" x14ac:dyDescent="0.2">
      <c r="A507"/>
      <c r="B507" t="s">
        <v>40</v>
      </c>
      <c r="C507" s="11">
        <v>535</v>
      </c>
      <c r="D507" s="11">
        <v>21389013</v>
      </c>
      <c r="E507" s="11">
        <f t="shared" si="20"/>
        <v>3331.6219626168222</v>
      </c>
      <c r="F507" s="11">
        <v>49</v>
      </c>
    </row>
    <row r="508" spans="1:6" x14ac:dyDescent="0.2">
      <c r="A508"/>
      <c r="B508" t="s">
        <v>41</v>
      </c>
      <c r="C508" s="11">
        <v>826</v>
      </c>
      <c r="D508" s="11">
        <v>28463174</v>
      </c>
      <c r="E508" s="11">
        <f t="shared" si="20"/>
        <v>2871.5873688458432</v>
      </c>
      <c r="F508" s="11">
        <v>87</v>
      </c>
    </row>
    <row r="509" spans="1:6" x14ac:dyDescent="0.2">
      <c r="A509"/>
      <c r="B509" t="s">
        <v>42</v>
      </c>
      <c r="C509" s="11">
        <v>951</v>
      </c>
      <c r="D509" s="11">
        <v>21098600</v>
      </c>
      <c r="E509" s="11">
        <f t="shared" si="20"/>
        <v>1848.808271994392</v>
      </c>
      <c r="F509" s="11">
        <v>110</v>
      </c>
    </row>
    <row r="510" spans="1:6" x14ac:dyDescent="0.2">
      <c r="A510"/>
      <c r="B510" t="s">
        <v>43</v>
      </c>
      <c r="C510" s="11">
        <v>2085</v>
      </c>
      <c r="D510" s="11">
        <v>80645924</v>
      </c>
      <c r="E510" s="11">
        <f t="shared" si="20"/>
        <v>3223.2583533173461</v>
      </c>
      <c r="F510" s="11">
        <v>380</v>
      </c>
    </row>
    <row r="511" spans="1:6" x14ac:dyDescent="0.2">
      <c r="A511"/>
      <c r="B511" t="s">
        <v>393</v>
      </c>
      <c r="C511" s="11">
        <v>73</v>
      </c>
      <c r="D511" s="11">
        <f>4257288+3248-47278</f>
        <v>4213258</v>
      </c>
      <c r="E511" s="11">
        <f t="shared" si="20"/>
        <v>4809.655251141553</v>
      </c>
      <c r="F511" s="11">
        <f>75-13</f>
        <v>62</v>
      </c>
    </row>
    <row r="512" spans="1:6" x14ac:dyDescent="0.2">
      <c r="A512"/>
      <c r="C512" s="11"/>
      <c r="D512" s="11"/>
      <c r="E512" s="11"/>
      <c r="F512" s="11"/>
    </row>
    <row r="513" spans="1:6" x14ac:dyDescent="0.2">
      <c r="A513"/>
      <c r="B513" s="2" t="s">
        <v>91</v>
      </c>
      <c r="C513" s="10">
        <f>+C525+C569+C623</f>
        <v>217078</v>
      </c>
      <c r="D513" s="10">
        <f>+D525+D569+D623</f>
        <v>8628230207</v>
      </c>
      <c r="E513" s="10">
        <f t="shared" si="20"/>
        <v>3312.2618778350025</v>
      </c>
      <c r="F513" s="10">
        <f>+F525+F569+F623</f>
        <v>3774</v>
      </c>
    </row>
    <row r="514" spans="1:6" x14ac:dyDescent="0.2">
      <c r="A514"/>
      <c r="C514" s="11"/>
      <c r="D514" s="11"/>
      <c r="E514" s="11"/>
      <c r="F514" s="11"/>
    </row>
    <row r="516" spans="1:6" x14ac:dyDescent="0.2">
      <c r="A516"/>
      <c r="B516" s="17" t="s">
        <v>422</v>
      </c>
      <c r="C516" s="11"/>
      <c r="D516" s="11"/>
      <c r="E516" s="11"/>
      <c r="F516" s="11"/>
    </row>
    <row r="517" spans="1:6" x14ac:dyDescent="0.2">
      <c r="B517" s="2"/>
      <c r="C517" s="2"/>
      <c r="D517" s="2"/>
      <c r="E517" s="2"/>
      <c r="F517" s="2"/>
    </row>
    <row r="518" spans="1:6" x14ac:dyDescent="0.2">
      <c r="B518" s="2"/>
      <c r="C518" s="2"/>
      <c r="D518" s="2"/>
      <c r="E518" s="2"/>
      <c r="F518" s="2"/>
    </row>
    <row r="519" spans="1:6" x14ac:dyDescent="0.2">
      <c r="B519" s="2"/>
      <c r="C519" s="2"/>
      <c r="D519" s="2"/>
      <c r="E519" s="2"/>
      <c r="F519" s="2"/>
    </row>
    <row r="520" spans="1:6" x14ac:dyDescent="0.2">
      <c r="B520" s="2"/>
      <c r="C520" s="2"/>
      <c r="D520" s="2"/>
      <c r="E520" s="2"/>
      <c r="F520" s="2"/>
    </row>
    <row r="521" spans="1:6" x14ac:dyDescent="0.2">
      <c r="C521" s="3" t="s">
        <v>82</v>
      </c>
      <c r="D521" s="3"/>
      <c r="E521" s="3" t="s">
        <v>82</v>
      </c>
      <c r="F521" s="3"/>
    </row>
    <row r="522" spans="1:6" x14ac:dyDescent="0.2">
      <c r="C522" s="3" t="s">
        <v>83</v>
      </c>
      <c r="D522" s="3"/>
      <c r="E522" s="3" t="s">
        <v>85</v>
      </c>
      <c r="F522" s="3" t="s">
        <v>86</v>
      </c>
    </row>
    <row r="523" spans="1:6" x14ac:dyDescent="0.2">
      <c r="C523" s="3" t="s">
        <v>84</v>
      </c>
      <c r="D523" s="3" t="s">
        <v>88</v>
      </c>
      <c r="E523" s="3" t="s">
        <v>89</v>
      </c>
      <c r="F523" s="3" t="s">
        <v>87</v>
      </c>
    </row>
    <row r="524" spans="1:6" x14ac:dyDescent="0.2">
      <c r="C524" s="3"/>
      <c r="D524" s="3"/>
      <c r="E524" s="3"/>
      <c r="F524" s="3"/>
    </row>
    <row r="525" spans="1:6" x14ac:dyDescent="0.2">
      <c r="A525"/>
      <c r="B525" s="2" t="s">
        <v>92</v>
      </c>
      <c r="C525" s="10">
        <f>+C527+C531+C533+C535+C537+C539+C548+C550</f>
        <v>37734</v>
      </c>
      <c r="D525" s="10">
        <f>+D527+D531+D533+D535+D537+D539+D548+D550</f>
        <v>2270778100</v>
      </c>
      <c r="E525" s="10">
        <f>(D525/C525)/12</f>
        <v>5014.8806999876333</v>
      </c>
      <c r="F525" s="10">
        <f>+F527+F531+F533+F535+F537+F539+F548+F550</f>
        <v>587</v>
      </c>
    </row>
    <row r="526" spans="1:6" x14ac:dyDescent="0.2">
      <c r="A526"/>
      <c r="B526" s="2"/>
      <c r="C526" s="10"/>
      <c r="D526" s="10"/>
      <c r="E526" s="10"/>
      <c r="F526" s="10"/>
    </row>
    <row r="527" spans="1:6" x14ac:dyDescent="0.2">
      <c r="A527"/>
      <c r="B527" t="s">
        <v>331</v>
      </c>
      <c r="C527" s="11">
        <f>341+5919</f>
        <v>6260</v>
      </c>
      <c r="D527" s="11">
        <f>7502681+304387790</f>
        <v>311890471</v>
      </c>
      <c r="E527" s="11">
        <f>(D527/C527)/12</f>
        <v>4151.8965788072419</v>
      </c>
      <c r="F527" s="11">
        <f>7+198</f>
        <v>205</v>
      </c>
    </row>
    <row r="528" spans="1:6" x14ac:dyDescent="0.2">
      <c r="A528"/>
      <c r="C528" s="11"/>
      <c r="D528" s="11"/>
      <c r="E528" s="11"/>
      <c r="F528" s="11"/>
    </row>
    <row r="529" spans="1:9" x14ac:dyDescent="0.2">
      <c r="B529" s="5" t="s">
        <v>44</v>
      </c>
      <c r="C529" s="12">
        <v>5512</v>
      </c>
      <c r="D529" s="12">
        <v>255908044</v>
      </c>
      <c r="E529" s="12">
        <f>(D529/C529)/12</f>
        <v>3868.9532535074991</v>
      </c>
      <c r="F529" s="12">
        <v>196</v>
      </c>
    </row>
    <row r="530" spans="1:9" x14ac:dyDescent="0.2">
      <c r="B530" s="5"/>
      <c r="C530" s="11"/>
      <c r="D530" s="11"/>
      <c r="E530" s="11"/>
      <c r="F530" s="11"/>
    </row>
    <row r="531" spans="1:9" x14ac:dyDescent="0.2">
      <c r="B531" t="s">
        <v>332</v>
      </c>
      <c r="C531" s="11">
        <v>10</v>
      </c>
      <c r="D531" s="11">
        <v>1102613</v>
      </c>
      <c r="E531" s="11">
        <f>(D531/C531)/12</f>
        <v>9188.4416666666675</v>
      </c>
      <c r="F531" s="11">
        <v>2</v>
      </c>
    </row>
    <row r="532" spans="1:9" x14ac:dyDescent="0.2">
      <c r="A532" s="3"/>
      <c r="C532" s="11"/>
      <c r="D532" s="11"/>
      <c r="E532" s="11"/>
      <c r="F532" s="11"/>
    </row>
    <row r="533" spans="1:9" x14ac:dyDescent="0.2">
      <c r="A533" s="6"/>
      <c r="B533" s="5" t="s">
        <v>333</v>
      </c>
      <c r="C533" s="11">
        <v>129</v>
      </c>
      <c r="D533" s="11">
        <v>10307339</v>
      </c>
      <c r="E533" s="11">
        <f>(D533/C533)/12</f>
        <v>6658.4877260981912</v>
      </c>
      <c r="F533" s="11">
        <v>10</v>
      </c>
    </row>
    <row r="534" spans="1:9" x14ac:dyDescent="0.2">
      <c r="A534" s="6"/>
      <c r="C534" s="11"/>
      <c r="D534" s="11"/>
      <c r="E534" s="11"/>
      <c r="F534" s="11"/>
      <c r="I534">
        <f>2277965515-2277778100</f>
        <v>187415</v>
      </c>
    </row>
    <row r="535" spans="1:9" x14ac:dyDescent="0.2">
      <c r="A535" s="6"/>
      <c r="B535" t="s">
        <v>343</v>
      </c>
      <c r="C535" s="11">
        <f>4+162</f>
        <v>166</v>
      </c>
      <c r="D535" s="11">
        <f>44344+13006883</f>
        <v>13051227</v>
      </c>
      <c r="E535" s="11">
        <f>(D535/C535)/12</f>
        <v>6551.8207831325299</v>
      </c>
      <c r="F535" s="11">
        <f>2+10</f>
        <v>12</v>
      </c>
    </row>
    <row r="536" spans="1:9" x14ac:dyDescent="0.2">
      <c r="A536" s="6"/>
      <c r="C536" s="1"/>
      <c r="D536" s="11"/>
      <c r="E536" s="11"/>
      <c r="F536" s="11"/>
    </row>
    <row r="537" spans="1:9" x14ac:dyDescent="0.2">
      <c r="A537" s="6"/>
      <c r="B537" t="s">
        <v>334</v>
      </c>
      <c r="C537" s="11">
        <f>2+2290</f>
        <v>2292</v>
      </c>
      <c r="D537" s="11">
        <f>28066+176164516</f>
        <v>176192582</v>
      </c>
      <c r="E537" s="11">
        <f>(D537/C537)/12</f>
        <v>6406.071189645143</v>
      </c>
      <c r="F537" s="11">
        <v>11</v>
      </c>
    </row>
    <row r="538" spans="1:9" x14ac:dyDescent="0.2">
      <c r="C538" s="11"/>
      <c r="D538" s="11"/>
      <c r="E538" s="11"/>
      <c r="F538" s="11"/>
    </row>
    <row r="539" spans="1:9" x14ac:dyDescent="0.2">
      <c r="A539" s="6"/>
      <c r="B539" t="s">
        <v>346</v>
      </c>
      <c r="C539" s="11">
        <f>736+136</f>
        <v>872</v>
      </c>
      <c r="D539" s="11">
        <f>29969109+2871764</f>
        <v>32840873</v>
      </c>
      <c r="E539" s="11">
        <f>(D539/C539)/12</f>
        <v>3138.462633792049</v>
      </c>
      <c r="F539" s="11">
        <f>31+8</f>
        <v>39</v>
      </c>
    </row>
    <row r="540" spans="1:9" x14ac:dyDescent="0.2">
      <c r="C540" s="11"/>
      <c r="D540" s="11"/>
      <c r="E540" s="11"/>
      <c r="F540" s="11"/>
    </row>
    <row r="541" spans="1:9" x14ac:dyDescent="0.2">
      <c r="A541" s="6"/>
      <c r="B541" t="s">
        <v>356</v>
      </c>
      <c r="C541" s="11">
        <f>SUM(C542:C546)</f>
        <v>137</v>
      </c>
      <c r="D541" s="11">
        <f>SUM(D542:D546)</f>
        <v>2871764</v>
      </c>
      <c r="E541" s="11">
        <f>(D541/C541)/12</f>
        <v>1746.8150851581511</v>
      </c>
      <c r="F541" s="11">
        <f>SUM(F542:F546)</f>
        <v>7</v>
      </c>
    </row>
    <row r="542" spans="1:9" x14ac:dyDescent="0.2">
      <c r="A542" s="6"/>
      <c r="B542" s="5" t="s">
        <v>420</v>
      </c>
      <c r="C542" s="11">
        <v>45</v>
      </c>
      <c r="D542" s="11">
        <v>842845</v>
      </c>
      <c r="E542" s="11">
        <f>(D542/C542)/12</f>
        <v>1560.8240740740741</v>
      </c>
      <c r="F542" s="11">
        <v>1</v>
      </c>
    </row>
    <row r="543" spans="1:9" x14ac:dyDescent="0.2">
      <c r="A543" s="6"/>
      <c r="B543" s="5" t="s">
        <v>421</v>
      </c>
      <c r="C543" s="11">
        <v>1</v>
      </c>
      <c r="D543" s="11">
        <v>31888</v>
      </c>
      <c r="E543" s="11">
        <f t="shared" si="20"/>
        <v>2657.3333333333335</v>
      </c>
      <c r="F543" s="11">
        <v>1</v>
      </c>
    </row>
    <row r="544" spans="1:9" x14ac:dyDescent="0.2">
      <c r="B544" t="s">
        <v>22</v>
      </c>
      <c r="C544" s="11">
        <v>19</v>
      </c>
      <c r="D544" s="11">
        <v>586704</v>
      </c>
      <c r="E544" s="11">
        <f t="shared" si="20"/>
        <v>2573.2631578947371</v>
      </c>
      <c r="F544" s="11">
        <v>1</v>
      </c>
    </row>
    <row r="545" spans="1:6" x14ac:dyDescent="0.2">
      <c r="A545" s="6"/>
      <c r="B545" t="s">
        <v>351</v>
      </c>
      <c r="C545" s="11">
        <v>68</v>
      </c>
      <c r="D545" s="11">
        <v>1332789</v>
      </c>
      <c r="E545" s="11">
        <f t="shared" si="20"/>
        <v>1633.3198529411766</v>
      </c>
      <c r="F545" s="11">
        <v>2</v>
      </c>
    </row>
    <row r="546" spans="1:6" x14ac:dyDescent="0.2">
      <c r="B546" t="s">
        <v>352</v>
      </c>
      <c r="C546" s="11">
        <v>4</v>
      </c>
      <c r="D546" s="11">
        <v>77538</v>
      </c>
      <c r="E546" s="11">
        <f t="shared" si="20"/>
        <v>1615.375</v>
      </c>
      <c r="F546" s="11">
        <v>2</v>
      </c>
    </row>
    <row r="547" spans="1:6" x14ac:dyDescent="0.2">
      <c r="C547" s="11"/>
      <c r="D547" s="11"/>
      <c r="E547" s="11"/>
      <c r="F547" s="11"/>
    </row>
    <row r="548" spans="1:6" x14ac:dyDescent="0.2">
      <c r="B548" t="s">
        <v>336</v>
      </c>
      <c r="C548" s="11">
        <v>4</v>
      </c>
      <c r="D548" s="11">
        <v>82142</v>
      </c>
      <c r="E548" s="11">
        <f t="shared" si="20"/>
        <v>1711.2916666666667</v>
      </c>
      <c r="F548" s="11">
        <v>2</v>
      </c>
    </row>
    <row r="549" spans="1:6" x14ac:dyDescent="0.2">
      <c r="C549" s="11"/>
      <c r="D549" s="11"/>
      <c r="E549" s="11"/>
      <c r="F549" s="11"/>
    </row>
    <row r="550" spans="1:6" x14ac:dyDescent="0.2">
      <c r="B550" s="5" t="s">
        <v>337</v>
      </c>
      <c r="C550" s="11">
        <f>SUM(C551:C558)</f>
        <v>28001</v>
      </c>
      <c r="D550" s="11">
        <f>SUM(D551:D558)</f>
        <v>1725310853</v>
      </c>
      <c r="E550" s="11">
        <f t="shared" si="20"/>
        <v>5134.6703480828064</v>
      </c>
      <c r="F550" s="11">
        <f>SUM(F551:F558)</f>
        <v>306</v>
      </c>
    </row>
    <row r="551" spans="1:6" x14ac:dyDescent="0.2">
      <c r="B551" t="s">
        <v>45</v>
      </c>
      <c r="C551" s="11">
        <v>6319</v>
      </c>
      <c r="D551" s="11">
        <v>304629341</v>
      </c>
      <c r="E551" s="11">
        <f t="shared" si="20"/>
        <v>4017.3727514902148</v>
      </c>
      <c r="F551" s="11">
        <v>23</v>
      </c>
    </row>
    <row r="552" spans="1:6" x14ac:dyDescent="0.2">
      <c r="B552" t="s">
        <v>81</v>
      </c>
      <c r="C552" s="11">
        <v>874</v>
      </c>
      <c r="D552" s="11">
        <v>76875850</v>
      </c>
      <c r="E552" s="11">
        <f t="shared" si="20"/>
        <v>7329.8865369946607</v>
      </c>
      <c r="F552" s="11">
        <v>25</v>
      </c>
    </row>
    <row r="553" spans="1:6" x14ac:dyDescent="0.2">
      <c r="B553" t="s">
        <v>46</v>
      </c>
      <c r="C553" s="11">
        <v>624</v>
      </c>
      <c r="D553" s="11">
        <v>30431706</v>
      </c>
      <c r="E553" s="11">
        <f t="shared" si="20"/>
        <v>4064.0633012820513</v>
      </c>
      <c r="F553" s="11">
        <v>16</v>
      </c>
    </row>
    <row r="554" spans="1:6" x14ac:dyDescent="0.2">
      <c r="B554" t="s">
        <v>47</v>
      </c>
      <c r="C554" s="11">
        <v>3039</v>
      </c>
      <c r="D554" s="11">
        <v>188344847</v>
      </c>
      <c r="E554" s="11">
        <f t="shared" si="20"/>
        <v>5164.6607162443788</v>
      </c>
      <c r="F554" s="11">
        <v>99</v>
      </c>
    </row>
    <row r="555" spans="1:6" x14ac:dyDescent="0.2">
      <c r="B555" t="s">
        <v>48</v>
      </c>
      <c r="C555" s="11">
        <v>21</v>
      </c>
      <c r="D555" s="11">
        <v>1897650</v>
      </c>
      <c r="E555" s="11">
        <f t="shared" si="20"/>
        <v>7530.3571428571422</v>
      </c>
      <c r="F555" s="11">
        <v>1</v>
      </c>
    </row>
    <row r="556" spans="1:6" x14ac:dyDescent="0.2">
      <c r="A556" s="6"/>
      <c r="B556" t="s">
        <v>49</v>
      </c>
      <c r="C556" s="11">
        <v>2454</v>
      </c>
      <c r="D556" s="11">
        <v>106843122</v>
      </c>
      <c r="E556" s="11">
        <f t="shared" si="20"/>
        <v>3628.1962102689486</v>
      </c>
      <c r="F556" s="11">
        <v>112</v>
      </c>
    </row>
    <row r="557" spans="1:6" x14ac:dyDescent="0.2">
      <c r="A557" s="6"/>
      <c r="B557" t="s">
        <v>398</v>
      </c>
      <c r="C557" s="11">
        <v>13</v>
      </c>
      <c r="D557" s="11">
        <v>1280539</v>
      </c>
      <c r="E557" s="11">
        <f t="shared" si="20"/>
        <v>8208.5833333333339</v>
      </c>
      <c r="F557" s="11">
        <v>1</v>
      </c>
    </row>
    <row r="558" spans="1:6" x14ac:dyDescent="0.2">
      <c r="A558"/>
      <c r="B558" t="s">
        <v>50</v>
      </c>
      <c r="C558" s="11">
        <v>14657</v>
      </c>
      <c r="D558" s="11">
        <v>1015007798</v>
      </c>
      <c r="E558" s="11">
        <f t="shared" si="20"/>
        <v>5770.893304678083</v>
      </c>
      <c r="F558" s="11">
        <v>29</v>
      </c>
    </row>
    <row r="559" spans="1:6" x14ac:dyDescent="0.2">
      <c r="A559"/>
      <c r="B559" s="17" t="s">
        <v>422</v>
      </c>
      <c r="C559" s="11"/>
      <c r="D559" s="11"/>
      <c r="E559" s="11"/>
      <c r="F559" s="11"/>
    </row>
    <row r="560" spans="1:6" x14ac:dyDescent="0.2">
      <c r="B560" s="2"/>
      <c r="C560" s="2"/>
      <c r="D560" s="2"/>
      <c r="E560" s="2"/>
      <c r="F560" s="2"/>
    </row>
    <row r="561" spans="1:6" x14ac:dyDescent="0.2">
      <c r="B561" s="2"/>
      <c r="C561" s="2"/>
      <c r="D561" s="2"/>
      <c r="E561" s="2"/>
      <c r="F561" s="2"/>
    </row>
    <row r="562" spans="1:6" x14ac:dyDescent="0.2">
      <c r="B562" s="2"/>
      <c r="C562" s="2"/>
      <c r="D562" s="2"/>
      <c r="E562" s="2"/>
      <c r="F562" s="2"/>
    </row>
    <row r="563" spans="1:6" x14ac:dyDescent="0.2">
      <c r="B563" s="2"/>
      <c r="C563" s="2"/>
      <c r="D563" s="2"/>
      <c r="E563" s="2"/>
      <c r="F563" s="2"/>
    </row>
    <row r="565" spans="1:6" x14ac:dyDescent="0.2">
      <c r="C565" s="3" t="s">
        <v>82</v>
      </c>
      <c r="D565" s="3"/>
      <c r="E565" s="3" t="s">
        <v>82</v>
      </c>
      <c r="F565" s="3"/>
    </row>
    <row r="566" spans="1:6" x14ac:dyDescent="0.2">
      <c r="C566" s="3" t="s">
        <v>83</v>
      </c>
      <c r="D566" s="3"/>
      <c r="E566" s="3" t="s">
        <v>85</v>
      </c>
      <c r="F566" s="3" t="s">
        <v>86</v>
      </c>
    </row>
    <row r="567" spans="1:6" x14ac:dyDescent="0.2">
      <c r="C567" s="3" t="s">
        <v>84</v>
      </c>
      <c r="D567" s="3" t="s">
        <v>88</v>
      </c>
      <c r="E567" s="3" t="s">
        <v>89</v>
      </c>
      <c r="F567" s="3" t="s">
        <v>87</v>
      </c>
    </row>
    <row r="568" spans="1:6" x14ac:dyDescent="0.2">
      <c r="C568" s="3"/>
      <c r="D568" s="3"/>
      <c r="E568" s="3"/>
      <c r="F568" s="3"/>
    </row>
    <row r="569" spans="1:6" x14ac:dyDescent="0.2">
      <c r="A569"/>
      <c r="B569" s="2" t="s">
        <v>93</v>
      </c>
      <c r="C569" s="10">
        <f>+C571+C575+C578+C582+C586+C588+C590+C597+C599+C612+C614</f>
        <v>64691</v>
      </c>
      <c r="D569" s="10">
        <f>+D571+D573+D575+D578+D580+D582+D586+D588+D590+D597+D599+D612+D614</f>
        <v>2688434507</v>
      </c>
      <c r="E569" s="10">
        <f>(D569/C569)/12</f>
        <v>3463.1743042566454</v>
      </c>
      <c r="F569" s="10">
        <f>+F571+F575+F578+F582+F586+F588+F590+F597+F599+F612+F614</f>
        <v>549</v>
      </c>
    </row>
    <row r="570" spans="1:6" x14ac:dyDescent="0.2">
      <c r="A570"/>
      <c r="B570" s="2"/>
      <c r="C570" s="11"/>
      <c r="D570" s="11"/>
      <c r="E570" s="11"/>
      <c r="F570" s="11"/>
    </row>
    <row r="571" spans="1:6" x14ac:dyDescent="0.2">
      <c r="A571"/>
      <c r="B571" s="5" t="s">
        <v>338</v>
      </c>
      <c r="C571" s="11">
        <v>55</v>
      </c>
      <c r="D571" s="11">
        <v>2166536</v>
      </c>
      <c r="E571" s="11">
        <f>(D571/C571)/12</f>
        <v>3282.6303030303029</v>
      </c>
      <c r="F571" s="11">
        <v>1</v>
      </c>
    </row>
    <row r="572" spans="1:6" x14ac:dyDescent="0.2">
      <c r="A572"/>
      <c r="B572" t="s">
        <v>90</v>
      </c>
      <c r="C572" s="11"/>
      <c r="D572" s="11"/>
      <c r="E572" s="11"/>
      <c r="F572" s="11"/>
    </row>
    <row r="573" spans="1:6" x14ac:dyDescent="0.2">
      <c r="A573"/>
      <c r="B573" t="s">
        <v>419</v>
      </c>
      <c r="C573" s="11">
        <v>0</v>
      </c>
      <c r="D573" s="11">
        <v>0</v>
      </c>
      <c r="E573" s="11">
        <v>0</v>
      </c>
      <c r="F573" s="11">
        <v>0</v>
      </c>
    </row>
    <row r="574" spans="1:6" x14ac:dyDescent="0.2">
      <c r="A574"/>
      <c r="C574" s="11"/>
      <c r="D574" s="11"/>
      <c r="E574" s="11"/>
      <c r="F574" s="11"/>
    </row>
    <row r="575" spans="1:6" x14ac:dyDescent="0.2">
      <c r="A575"/>
      <c r="B575" t="s">
        <v>339</v>
      </c>
      <c r="C575" s="11">
        <f>+C576</f>
        <v>473</v>
      </c>
      <c r="D575" s="11">
        <f>+D576</f>
        <v>6143396</v>
      </c>
      <c r="E575" s="11">
        <f>(D575/C575)/12</f>
        <v>1082.3460183227626</v>
      </c>
      <c r="F575" s="11">
        <f>+F576</f>
        <v>37</v>
      </c>
    </row>
    <row r="576" spans="1:6" x14ac:dyDescent="0.2">
      <c r="A576"/>
      <c r="B576" t="s">
        <v>80</v>
      </c>
      <c r="C576" s="11">
        <v>473</v>
      </c>
      <c r="D576" s="11">
        <v>6143396</v>
      </c>
      <c r="E576" s="11">
        <f>(D576/C576)/12</f>
        <v>1082.3460183227626</v>
      </c>
      <c r="F576" s="11">
        <v>37</v>
      </c>
    </row>
    <row r="577" spans="1:6" x14ac:dyDescent="0.2">
      <c r="A577" s="3"/>
      <c r="C577" s="11"/>
      <c r="D577" s="11"/>
      <c r="E577" s="11"/>
      <c r="F577" s="11"/>
    </row>
    <row r="578" spans="1:6" x14ac:dyDescent="0.2">
      <c r="A578" s="3"/>
      <c r="B578" t="s">
        <v>340</v>
      </c>
      <c r="C578" s="11">
        <v>45</v>
      </c>
      <c r="D578" s="11">
        <v>648164</v>
      </c>
      <c r="E578" s="11">
        <f>(D578/C578)/12</f>
        <v>1200.3037037037036</v>
      </c>
      <c r="F578" s="11">
        <v>1</v>
      </c>
    </row>
    <row r="579" spans="1:6" x14ac:dyDescent="0.2">
      <c r="A579" s="3"/>
      <c r="B579" s="5"/>
      <c r="C579" s="11"/>
      <c r="D579" s="11"/>
      <c r="E579" s="11"/>
      <c r="F579" s="11"/>
    </row>
    <row r="580" spans="1:6" x14ac:dyDescent="0.2">
      <c r="A580" s="3"/>
      <c r="B580" s="5" t="s">
        <v>332</v>
      </c>
      <c r="C580" s="11">
        <v>0</v>
      </c>
      <c r="D580" s="11">
        <v>0</v>
      </c>
      <c r="E580" s="11">
        <v>0</v>
      </c>
      <c r="F580" s="11">
        <v>0</v>
      </c>
    </row>
    <row r="581" spans="1:6" x14ac:dyDescent="0.2">
      <c r="A581" s="3"/>
      <c r="B581" s="5"/>
      <c r="C581" s="11"/>
      <c r="D581" s="11"/>
      <c r="E581" s="11"/>
      <c r="F581" s="11"/>
    </row>
    <row r="582" spans="1:6" x14ac:dyDescent="0.2">
      <c r="A582"/>
      <c r="B582" s="5" t="s">
        <v>341</v>
      </c>
      <c r="C582" s="11">
        <f>SUM(C583:C584)</f>
        <v>474</v>
      </c>
      <c r="D582" s="11">
        <f>SUM(D583:D584)</f>
        <v>25046427</v>
      </c>
      <c r="E582" s="11">
        <f>(D582/C582)/12</f>
        <v>4403.3802742616035</v>
      </c>
      <c r="F582" s="11">
        <f>SUM(F583:F584)</f>
        <v>2</v>
      </c>
    </row>
    <row r="583" spans="1:6" x14ac:dyDescent="0.2">
      <c r="A583" s="6"/>
      <c r="B583" t="s">
        <v>268</v>
      </c>
      <c r="C583" s="11">
        <v>63</v>
      </c>
      <c r="D583" s="11">
        <v>3365618</v>
      </c>
      <c r="E583" s="11">
        <v>3377478</v>
      </c>
      <c r="F583" s="11">
        <v>1</v>
      </c>
    </row>
    <row r="584" spans="1:6" x14ac:dyDescent="0.2">
      <c r="A584" s="6"/>
      <c r="B584" t="s">
        <v>272</v>
      </c>
      <c r="C584" s="11">
        <v>411</v>
      </c>
      <c r="D584" s="11">
        <v>21680809</v>
      </c>
      <c r="E584" s="11">
        <f>(D584/C584)/12</f>
        <v>4395.9466747769666</v>
      </c>
      <c r="F584" s="11">
        <v>1</v>
      </c>
    </row>
    <row r="585" spans="1:6" x14ac:dyDescent="0.2">
      <c r="A585" s="6"/>
      <c r="C585" s="11"/>
      <c r="D585" s="11"/>
      <c r="E585" s="11"/>
      <c r="F585" s="11"/>
    </row>
    <row r="586" spans="1:6" x14ac:dyDescent="0.2">
      <c r="A586" s="6"/>
      <c r="B586" s="5" t="s">
        <v>342</v>
      </c>
      <c r="C586" s="11">
        <v>12</v>
      </c>
      <c r="D586" s="11">
        <v>248191</v>
      </c>
      <c r="E586" s="11">
        <f t="shared" si="20"/>
        <v>1723.5486111111111</v>
      </c>
      <c r="F586" s="11">
        <v>1</v>
      </c>
    </row>
    <row r="587" spans="1:6" x14ac:dyDescent="0.2">
      <c r="A587" s="6"/>
      <c r="C587" s="11"/>
      <c r="D587" s="11"/>
      <c r="E587" s="11"/>
      <c r="F587" s="11"/>
    </row>
    <row r="588" spans="1:6" x14ac:dyDescent="0.2">
      <c r="A588" s="6"/>
      <c r="B588" t="s">
        <v>343</v>
      </c>
      <c r="C588" s="11">
        <v>1</v>
      </c>
      <c r="D588" s="11">
        <v>6255</v>
      </c>
      <c r="E588" s="11">
        <f t="shared" si="20"/>
        <v>521.25</v>
      </c>
      <c r="F588" s="11">
        <v>2</v>
      </c>
    </row>
    <row r="589" spans="1:6" x14ac:dyDescent="0.2">
      <c r="A589" s="6"/>
      <c r="C589" s="11"/>
      <c r="D589" s="11"/>
      <c r="E589" s="11"/>
      <c r="F589" s="11"/>
    </row>
    <row r="590" spans="1:6" x14ac:dyDescent="0.2">
      <c r="A590" s="6"/>
      <c r="B590" t="s">
        <v>344</v>
      </c>
      <c r="C590" s="11">
        <f>SUM(C591:C595)</f>
        <v>35966</v>
      </c>
      <c r="D590" s="11">
        <f>SUM(D591:D595)</f>
        <v>1383893407</v>
      </c>
      <c r="E590" s="11">
        <f t="shared" ref="E590:E675" si="21">(D590/C590)/12</f>
        <v>3206.4853078833712</v>
      </c>
      <c r="F590" s="11">
        <f>SUM(F591:F595)</f>
        <v>57</v>
      </c>
    </row>
    <row r="591" spans="1:6" x14ac:dyDescent="0.2">
      <c r="A591" s="6"/>
      <c r="B591" t="s">
        <v>312</v>
      </c>
      <c r="C591" s="11">
        <v>1205</v>
      </c>
      <c r="D591" s="11">
        <v>38319688</v>
      </c>
      <c r="E591" s="11">
        <f>(D591/C591)/12</f>
        <v>2650.0475795297375</v>
      </c>
      <c r="F591" s="11">
        <v>4</v>
      </c>
    </row>
    <row r="592" spans="1:6" x14ac:dyDescent="0.2">
      <c r="A592" s="6"/>
      <c r="B592" t="s">
        <v>313</v>
      </c>
      <c r="C592" s="11">
        <v>4511</v>
      </c>
      <c r="D592" s="11">
        <v>105613214</v>
      </c>
      <c r="E592" s="11">
        <f>(D592/C592)/12</f>
        <v>1951.0310721938965</v>
      </c>
      <c r="F592" s="11">
        <v>21</v>
      </c>
    </row>
    <row r="593" spans="1:6" x14ac:dyDescent="0.2">
      <c r="B593" t="s">
        <v>314</v>
      </c>
      <c r="C593" s="11">
        <v>29509</v>
      </c>
      <c r="D593" s="11">
        <v>1220284611</v>
      </c>
      <c r="E593" s="11">
        <f>(D593/C593)/12</f>
        <v>3446.0803229523194</v>
      </c>
      <c r="F593" s="11">
        <v>25</v>
      </c>
    </row>
    <row r="594" spans="1:6" x14ac:dyDescent="0.2">
      <c r="A594" s="6"/>
      <c r="B594" t="s">
        <v>316</v>
      </c>
      <c r="C594" s="11">
        <v>741</v>
      </c>
      <c r="D594" s="11">
        <v>19675894</v>
      </c>
      <c r="E594" s="11">
        <f>(D594/C594)/12</f>
        <v>2212.7636077372922</v>
      </c>
      <c r="F594" s="11">
        <v>7</v>
      </c>
    </row>
    <row r="595" spans="1:6" x14ac:dyDescent="0.2">
      <c r="A595" s="6"/>
      <c r="B595" s="8" t="s">
        <v>410</v>
      </c>
      <c r="C595" s="11">
        <v>0</v>
      </c>
      <c r="D595" s="11">
        <v>0</v>
      </c>
      <c r="E595" s="11">
        <v>0</v>
      </c>
      <c r="F595" s="11">
        <v>0</v>
      </c>
    </row>
    <row r="596" spans="1:6" x14ac:dyDescent="0.2">
      <c r="A596" s="6"/>
      <c r="C596" s="11"/>
      <c r="D596" s="11"/>
      <c r="E596" s="11"/>
      <c r="F596" s="11"/>
    </row>
    <row r="597" spans="1:6" x14ac:dyDescent="0.2">
      <c r="B597" t="s">
        <v>345</v>
      </c>
      <c r="C597" s="11">
        <v>7980</v>
      </c>
      <c r="D597" s="11">
        <v>423156634</v>
      </c>
      <c r="E597" s="11">
        <f t="shared" si="21"/>
        <v>4418.928926482874</v>
      </c>
      <c r="F597" s="11">
        <v>19</v>
      </c>
    </row>
    <row r="598" spans="1:6" x14ac:dyDescent="0.2">
      <c r="C598" s="11"/>
      <c r="D598" s="11"/>
      <c r="E598" s="11"/>
      <c r="F598" s="11"/>
    </row>
    <row r="599" spans="1:6" x14ac:dyDescent="0.2">
      <c r="B599" t="s">
        <v>346</v>
      </c>
      <c r="C599" s="11">
        <v>113</v>
      </c>
      <c r="D599" s="11">
        <v>4799866</v>
      </c>
      <c r="E599" s="11">
        <f t="shared" si="21"/>
        <v>3539.7241887905602</v>
      </c>
      <c r="F599" s="11">
        <v>5</v>
      </c>
    </row>
    <row r="600" spans="1:6" x14ac:dyDescent="0.2">
      <c r="C600" s="11"/>
      <c r="D600" s="11"/>
      <c r="E600" s="11"/>
      <c r="F600" s="11"/>
    </row>
    <row r="602" spans="1:6" x14ac:dyDescent="0.2">
      <c r="B602" s="17" t="s">
        <v>422</v>
      </c>
      <c r="C602" s="11"/>
      <c r="D602" s="11"/>
      <c r="E602" s="11"/>
      <c r="F602" s="11"/>
    </row>
    <row r="603" spans="1:6" x14ac:dyDescent="0.2">
      <c r="B603" s="2"/>
      <c r="C603" s="2"/>
      <c r="D603" s="2"/>
      <c r="E603" s="2"/>
      <c r="F603" s="2"/>
    </row>
    <row r="604" spans="1:6" x14ac:dyDescent="0.2">
      <c r="B604" s="2"/>
      <c r="C604" s="2"/>
      <c r="D604" s="2"/>
      <c r="E604" s="2"/>
      <c r="F604" s="2"/>
    </row>
    <row r="605" spans="1:6" x14ac:dyDescent="0.2">
      <c r="B605" s="2"/>
      <c r="C605" s="2"/>
      <c r="D605" s="2"/>
      <c r="E605" s="2"/>
      <c r="F605" s="2"/>
    </row>
    <row r="606" spans="1:6" x14ac:dyDescent="0.2">
      <c r="B606" s="2"/>
      <c r="C606" s="2"/>
      <c r="D606" s="2"/>
      <c r="E606" s="2"/>
      <c r="F606" s="2"/>
    </row>
    <row r="608" spans="1:6" x14ac:dyDescent="0.2">
      <c r="C608" s="3" t="s">
        <v>82</v>
      </c>
      <c r="D608" s="3"/>
      <c r="E608" s="3" t="s">
        <v>82</v>
      </c>
      <c r="F608" s="3"/>
    </row>
    <row r="609" spans="1:6" x14ac:dyDescent="0.2">
      <c r="C609" s="3" t="s">
        <v>83</v>
      </c>
      <c r="D609" s="3"/>
      <c r="E609" s="3" t="s">
        <v>85</v>
      </c>
      <c r="F609" s="3" t="s">
        <v>86</v>
      </c>
    </row>
    <row r="610" spans="1:6" x14ac:dyDescent="0.2">
      <c r="C610" s="3" t="s">
        <v>84</v>
      </c>
      <c r="D610" s="3" t="s">
        <v>88</v>
      </c>
      <c r="E610" s="3" t="s">
        <v>89</v>
      </c>
      <c r="F610" s="3" t="s">
        <v>87</v>
      </c>
    </row>
    <row r="611" spans="1:6" x14ac:dyDescent="0.2">
      <c r="C611" s="11"/>
      <c r="D611" s="11"/>
      <c r="E611" s="11"/>
      <c r="F611" s="11"/>
    </row>
    <row r="612" spans="1:6" x14ac:dyDescent="0.2">
      <c r="B612" t="s">
        <v>336</v>
      </c>
      <c r="C612" s="11">
        <v>8</v>
      </c>
      <c r="D612" s="11">
        <v>392181</v>
      </c>
      <c r="E612" s="11">
        <f>(D612/C612)/12</f>
        <v>4085.21875</v>
      </c>
      <c r="F612" s="11">
        <v>2</v>
      </c>
    </row>
    <row r="613" spans="1:6" x14ac:dyDescent="0.2">
      <c r="C613" s="11"/>
      <c r="D613" s="11"/>
      <c r="E613" s="11"/>
      <c r="F613" s="11"/>
    </row>
    <row r="614" spans="1:6" x14ac:dyDescent="0.2">
      <c r="A614"/>
      <c r="B614" s="5" t="s">
        <v>423</v>
      </c>
      <c r="C614" s="11">
        <f>SUM(C615:C621)</f>
        <v>19564</v>
      </c>
      <c r="D614" s="11">
        <f>SUM(D615:D621)</f>
        <v>841933450</v>
      </c>
      <c r="E614" s="11">
        <f t="shared" ref="E614:E621" si="22">(D614/C614)/12</f>
        <v>3586.2359861650652</v>
      </c>
      <c r="F614" s="11">
        <f>SUM(F615:F621)</f>
        <v>422</v>
      </c>
    </row>
    <row r="615" spans="1:6" x14ac:dyDescent="0.2">
      <c r="A615"/>
      <c r="B615" t="s">
        <v>45</v>
      </c>
      <c r="C615" s="1">
        <f>2077+126</f>
        <v>2203</v>
      </c>
      <c r="D615" s="11">
        <f>100995892+908110</f>
        <v>101904002</v>
      </c>
      <c r="E615" s="11">
        <f t="shared" si="22"/>
        <v>3854.7436072022997</v>
      </c>
      <c r="F615" s="1">
        <v>28</v>
      </c>
    </row>
    <row r="616" spans="1:6" x14ac:dyDescent="0.2">
      <c r="B616" t="s">
        <v>51</v>
      </c>
      <c r="C616" s="11">
        <v>5761</v>
      </c>
      <c r="D616" s="11">
        <v>247422190</v>
      </c>
      <c r="E616" s="11">
        <f t="shared" si="22"/>
        <v>3578.9820922293584</v>
      </c>
      <c r="F616" s="11">
        <v>93</v>
      </c>
    </row>
    <row r="617" spans="1:6" x14ac:dyDescent="0.2">
      <c r="B617" t="s">
        <v>46</v>
      </c>
      <c r="C617" s="11">
        <v>5569</v>
      </c>
      <c r="D617" s="11">
        <v>235324983</v>
      </c>
      <c r="E617" s="11">
        <f t="shared" si="22"/>
        <v>3521.3530705692224</v>
      </c>
      <c r="F617" s="11">
        <v>95</v>
      </c>
    </row>
    <row r="618" spans="1:6" x14ac:dyDescent="0.2">
      <c r="B618" t="s">
        <v>47</v>
      </c>
      <c r="C618" s="11">
        <v>1735</v>
      </c>
      <c r="D618" s="11">
        <v>76587036</v>
      </c>
      <c r="E618" s="11">
        <f t="shared" si="22"/>
        <v>3678.5319884726227</v>
      </c>
      <c r="F618" s="11">
        <v>69</v>
      </c>
    </row>
    <row r="619" spans="1:6" x14ac:dyDescent="0.2">
      <c r="B619" t="s">
        <v>48</v>
      </c>
      <c r="C619" s="11">
        <v>23</v>
      </c>
      <c r="D619" s="11">
        <v>1106507</v>
      </c>
      <c r="E619" s="11">
        <f t="shared" si="22"/>
        <v>4009.0833333333335</v>
      </c>
      <c r="F619" s="11">
        <v>1</v>
      </c>
    </row>
    <row r="620" spans="1:6" x14ac:dyDescent="0.2">
      <c r="A620" s="6"/>
      <c r="B620" t="s">
        <v>49</v>
      </c>
      <c r="C620" s="11">
        <v>4221</v>
      </c>
      <c r="D620" s="11">
        <v>177094530</v>
      </c>
      <c r="E620" s="11">
        <f t="shared" si="22"/>
        <v>3496.2988628287135</v>
      </c>
      <c r="F620" s="11">
        <v>135</v>
      </c>
    </row>
    <row r="621" spans="1:6" x14ac:dyDescent="0.2">
      <c r="A621"/>
      <c r="B621" t="s">
        <v>50</v>
      </c>
      <c r="C621" s="11">
        <v>52</v>
      </c>
      <c r="D621" s="11">
        <v>2494202</v>
      </c>
      <c r="E621" s="11">
        <f t="shared" si="22"/>
        <v>3997.1185897435898</v>
      </c>
      <c r="F621" s="11">
        <v>1</v>
      </c>
    </row>
    <row r="622" spans="1:6" x14ac:dyDescent="0.2">
      <c r="A622"/>
      <c r="C622" s="11"/>
      <c r="D622" s="11"/>
      <c r="E622" s="11"/>
      <c r="F622" s="11"/>
    </row>
    <row r="623" spans="1:6" x14ac:dyDescent="0.2">
      <c r="A623"/>
      <c r="B623" s="2" t="s">
        <v>94</v>
      </c>
      <c r="C623" s="10">
        <f>+C627+C629+C631+C639+C641+C643+C655+C657+C667+C669+C675+C677+C679</f>
        <v>114653</v>
      </c>
      <c r="D623" s="10">
        <f>+D627+D629+D631+D639+D641+D643+D655+D657+D667+D669+D675+D677+D679</f>
        <v>3669017600</v>
      </c>
      <c r="E623" s="10">
        <f>(D623/C623)/12</f>
        <v>2666.7550492936657</v>
      </c>
      <c r="F623" s="10">
        <f>+F627+F629+F631+F639+F641+F643+F655+F657+F667+F669+F675+F677+F679</f>
        <v>2638</v>
      </c>
    </row>
    <row r="624" spans="1:6" x14ac:dyDescent="0.2">
      <c r="A624"/>
      <c r="C624" s="11"/>
      <c r="D624" s="11"/>
      <c r="E624" s="11"/>
      <c r="F624" s="11"/>
    </row>
    <row r="625" spans="1:6" x14ac:dyDescent="0.2">
      <c r="A625"/>
      <c r="B625" t="s">
        <v>355</v>
      </c>
      <c r="C625" s="11">
        <v>4</v>
      </c>
      <c r="D625" s="11">
        <v>110186</v>
      </c>
      <c r="E625" s="11">
        <f>(D625/C625)/12</f>
        <v>2295.5416666666665</v>
      </c>
      <c r="F625" s="11">
        <v>2</v>
      </c>
    </row>
    <row r="626" spans="1:6" x14ac:dyDescent="0.2">
      <c r="A626"/>
      <c r="C626" s="11"/>
      <c r="D626" s="11"/>
      <c r="E626" s="11"/>
      <c r="F626" s="11"/>
    </row>
    <row r="627" spans="1:6" x14ac:dyDescent="0.2">
      <c r="A627"/>
      <c r="B627" t="s">
        <v>347</v>
      </c>
      <c r="C627" s="11">
        <v>2212</v>
      </c>
      <c r="D627" s="11">
        <v>110804954</v>
      </c>
      <c r="E627" s="11">
        <f>(D627/C627)/12</f>
        <v>4174.387959614226</v>
      </c>
      <c r="F627" s="11">
        <v>139</v>
      </c>
    </row>
    <row r="628" spans="1:6" x14ac:dyDescent="0.2">
      <c r="C628" s="11"/>
      <c r="D628" s="11"/>
      <c r="E628" s="11"/>
      <c r="F628" s="11"/>
    </row>
    <row r="629" spans="1:6" x14ac:dyDescent="0.2">
      <c r="B629" t="s">
        <v>348</v>
      </c>
      <c r="C629" s="11">
        <v>1202</v>
      </c>
      <c r="D629" s="11">
        <v>49708170</v>
      </c>
      <c r="E629" s="11">
        <f>(D629/C629)/12</f>
        <v>3446.2125623960069</v>
      </c>
      <c r="F629" s="11">
        <v>71</v>
      </c>
    </row>
    <row r="630" spans="1:6" x14ac:dyDescent="0.2">
      <c r="C630" s="11"/>
      <c r="D630" s="11"/>
      <c r="E630" s="11"/>
      <c r="F630" s="11"/>
    </row>
    <row r="631" spans="1:6" x14ac:dyDescent="0.2">
      <c r="B631" t="s">
        <v>340</v>
      </c>
      <c r="C631" s="11">
        <f>+C632+C633+C637</f>
        <v>4958</v>
      </c>
      <c r="D631" s="11">
        <f>+D632+D633+D637</f>
        <v>170064082</v>
      </c>
      <c r="E631" s="11">
        <f t="shared" si="21"/>
        <v>2858.4120276993413</v>
      </c>
      <c r="F631" s="11">
        <f>+F632+F633+F637</f>
        <v>52</v>
      </c>
    </row>
    <row r="632" spans="1:6" x14ac:dyDescent="0.2">
      <c r="B632" t="s">
        <v>395</v>
      </c>
      <c r="C632" s="11">
        <v>4</v>
      </c>
      <c r="D632" s="11">
        <v>52077</v>
      </c>
      <c r="E632" s="11">
        <f t="shared" si="21"/>
        <v>1084.9375</v>
      </c>
      <c r="F632" s="11">
        <v>1</v>
      </c>
    </row>
    <row r="633" spans="1:6" x14ac:dyDescent="0.2">
      <c r="B633" t="s">
        <v>242</v>
      </c>
      <c r="C633" s="11">
        <f>SUM(C634:C636)</f>
        <v>4360</v>
      </c>
      <c r="D633" s="11">
        <f>SUM(D634:D636)</f>
        <v>139752983</v>
      </c>
      <c r="E633" s="11">
        <f t="shared" si="21"/>
        <v>2671.1197056574924</v>
      </c>
      <c r="F633" s="11">
        <f>SUM(F634:F636)</f>
        <v>42</v>
      </c>
    </row>
    <row r="634" spans="1:6" x14ac:dyDescent="0.2">
      <c r="B634" t="s">
        <v>353</v>
      </c>
      <c r="C634" s="11">
        <v>2375</v>
      </c>
      <c r="D634" s="11">
        <v>100103747</v>
      </c>
      <c r="E634" s="11">
        <f t="shared" si="21"/>
        <v>3512.4121754385965</v>
      </c>
      <c r="F634" s="11">
        <v>12</v>
      </c>
    </row>
    <row r="635" spans="1:6" x14ac:dyDescent="0.2">
      <c r="B635" t="s">
        <v>396</v>
      </c>
      <c r="C635" s="11">
        <v>99</v>
      </c>
      <c r="D635" s="11">
        <v>2064371</v>
      </c>
      <c r="E635" s="11"/>
      <c r="F635" s="11">
        <v>1</v>
      </c>
    </row>
    <row r="636" spans="1:6" x14ac:dyDescent="0.2">
      <c r="B636" t="s">
        <v>243</v>
      </c>
      <c r="C636" s="11">
        <v>1886</v>
      </c>
      <c r="D636" s="11">
        <v>37584865</v>
      </c>
      <c r="E636" s="11">
        <f t="shared" si="21"/>
        <v>1660.6956963591374</v>
      </c>
      <c r="F636" s="11">
        <v>29</v>
      </c>
    </row>
    <row r="637" spans="1:6" x14ac:dyDescent="0.2">
      <c r="B637" t="s">
        <v>249</v>
      </c>
      <c r="C637" s="11">
        <v>594</v>
      </c>
      <c r="D637" s="11">
        <v>30259022</v>
      </c>
      <c r="E637" s="11">
        <f t="shared" si="21"/>
        <v>4245.092873176206</v>
      </c>
      <c r="F637" s="11">
        <v>9</v>
      </c>
    </row>
    <row r="638" spans="1:6" x14ac:dyDescent="0.2">
      <c r="C638" s="11"/>
      <c r="D638" s="11"/>
      <c r="E638" s="11"/>
      <c r="F638" s="11"/>
    </row>
    <row r="639" spans="1:6" x14ac:dyDescent="0.2">
      <c r="A639" s="6"/>
      <c r="B639" t="s">
        <v>349</v>
      </c>
      <c r="C639" s="11">
        <v>23</v>
      </c>
      <c r="D639" s="11">
        <v>750216</v>
      </c>
      <c r="E639" s="11">
        <f t="shared" si="21"/>
        <v>2718.1739130434785</v>
      </c>
      <c r="F639" s="11">
        <v>2</v>
      </c>
    </row>
    <row r="640" spans="1:6" x14ac:dyDescent="0.2">
      <c r="A640" s="6"/>
      <c r="C640" s="11"/>
      <c r="D640" s="11"/>
      <c r="E640" s="11"/>
      <c r="F640" s="11"/>
    </row>
    <row r="641" spans="1:6" x14ac:dyDescent="0.2">
      <c r="B641" t="s">
        <v>332</v>
      </c>
      <c r="C641" s="11">
        <v>1278</v>
      </c>
      <c r="D641" s="11">
        <v>26642263</v>
      </c>
      <c r="E641" s="11">
        <f t="shared" si="21"/>
        <v>1737.2367631716224</v>
      </c>
      <c r="F641" s="11">
        <v>64</v>
      </c>
    </row>
    <row r="642" spans="1:6" x14ac:dyDescent="0.2">
      <c r="C642" s="11"/>
      <c r="D642" s="11"/>
      <c r="E642" s="11"/>
      <c r="F642" s="11"/>
    </row>
    <row r="643" spans="1:6" x14ac:dyDescent="0.2">
      <c r="B643" s="5" t="s">
        <v>394</v>
      </c>
      <c r="C643" s="11">
        <f>7+24</f>
        <v>31</v>
      </c>
      <c r="D643" s="11">
        <f>670385+712940</f>
        <v>1383325</v>
      </c>
      <c r="E643" s="11">
        <f t="shared" si="21"/>
        <v>3718.6155913978496</v>
      </c>
      <c r="F643" s="11">
        <f>1+1</f>
        <v>2</v>
      </c>
    </row>
    <row r="644" spans="1:6" x14ac:dyDescent="0.2">
      <c r="C644" s="11"/>
      <c r="D644" s="11"/>
      <c r="E644" s="11"/>
      <c r="F644" s="11"/>
    </row>
    <row r="645" spans="1:6" x14ac:dyDescent="0.2">
      <c r="B645" s="17" t="s">
        <v>422</v>
      </c>
    </row>
    <row r="646" spans="1:6" x14ac:dyDescent="0.2">
      <c r="B646" s="2"/>
      <c r="C646" s="2"/>
      <c r="D646" s="2"/>
      <c r="E646" s="2"/>
      <c r="F646" s="2"/>
    </row>
    <row r="647" spans="1:6" x14ac:dyDescent="0.2">
      <c r="B647" s="2"/>
      <c r="C647" s="2"/>
      <c r="D647" s="2"/>
      <c r="E647" s="2"/>
      <c r="F647" s="2"/>
    </row>
    <row r="648" spans="1:6" x14ac:dyDescent="0.2">
      <c r="B648" s="2"/>
      <c r="C648" s="2"/>
      <c r="D648" s="2"/>
      <c r="E648" s="2"/>
      <c r="F648" s="2"/>
    </row>
    <row r="649" spans="1:6" x14ac:dyDescent="0.2">
      <c r="B649" s="2"/>
      <c r="C649" s="2"/>
      <c r="D649" s="2"/>
      <c r="E649" s="2"/>
      <c r="F649" s="2"/>
    </row>
    <row r="651" spans="1:6" x14ac:dyDescent="0.2">
      <c r="C651" s="3" t="s">
        <v>82</v>
      </c>
      <c r="D651" s="3"/>
      <c r="E651" s="3" t="s">
        <v>82</v>
      </c>
      <c r="F651" s="3"/>
    </row>
    <row r="652" spans="1:6" x14ac:dyDescent="0.2">
      <c r="C652" s="3" t="s">
        <v>83</v>
      </c>
      <c r="D652" s="3"/>
      <c r="E652" s="3" t="s">
        <v>85</v>
      </c>
      <c r="F652" s="3" t="s">
        <v>86</v>
      </c>
    </row>
    <row r="653" spans="1:6" x14ac:dyDescent="0.2">
      <c r="C653" s="3" t="s">
        <v>84</v>
      </c>
      <c r="D653" s="3" t="s">
        <v>88</v>
      </c>
      <c r="E653" s="3" t="s">
        <v>89</v>
      </c>
      <c r="F653" s="3" t="s">
        <v>87</v>
      </c>
    </row>
    <row r="654" spans="1:6" x14ac:dyDescent="0.2">
      <c r="A654" s="6"/>
      <c r="C654" s="11"/>
      <c r="D654" s="11"/>
      <c r="E654" s="11"/>
      <c r="F654" s="11"/>
    </row>
    <row r="655" spans="1:6" x14ac:dyDescent="0.2">
      <c r="B655" t="s">
        <v>343</v>
      </c>
      <c r="C655" s="11">
        <v>83</v>
      </c>
      <c r="D655" s="11">
        <v>3704013</v>
      </c>
      <c r="E655" s="11">
        <f>(D655/C655)/12</f>
        <v>3718.8885542168678</v>
      </c>
      <c r="F655" s="11">
        <v>6</v>
      </c>
    </row>
    <row r="656" spans="1:6" x14ac:dyDescent="0.2">
      <c r="C656" s="11"/>
      <c r="D656" s="11"/>
      <c r="E656" s="11"/>
      <c r="F656" s="11"/>
    </row>
    <row r="657" spans="1:6" x14ac:dyDescent="0.2">
      <c r="B657" t="s">
        <v>350</v>
      </c>
      <c r="C657" s="11">
        <f>+C658+C663</f>
        <v>565</v>
      </c>
      <c r="D657" s="11">
        <f>+D658+D663</f>
        <v>16272837</v>
      </c>
      <c r="E657" s="11">
        <f t="shared" ref="E657:E665" si="23">(D657/C657)/12</f>
        <v>2400.1234513274335</v>
      </c>
      <c r="F657" s="11">
        <f>+F658+F663</f>
        <v>44</v>
      </c>
    </row>
    <row r="658" spans="1:6" x14ac:dyDescent="0.2">
      <c r="B658" t="s">
        <v>354</v>
      </c>
      <c r="C658" s="11">
        <f>SUM(C659:C662)</f>
        <v>283</v>
      </c>
      <c r="D658" s="11">
        <f>SUM(D659:D662)</f>
        <v>6054810</v>
      </c>
      <c r="E658" s="11">
        <f t="shared" si="23"/>
        <v>1782.9240282685512</v>
      </c>
      <c r="F658" s="11">
        <f>SUM(F659:F662)</f>
        <v>22</v>
      </c>
    </row>
    <row r="659" spans="1:6" x14ac:dyDescent="0.2">
      <c r="A659" s="6"/>
      <c r="B659" t="s">
        <v>299</v>
      </c>
      <c r="C659" s="11">
        <v>5</v>
      </c>
      <c r="D659" s="11">
        <v>263444</v>
      </c>
      <c r="E659" s="11">
        <f t="shared" si="23"/>
        <v>4390.7333333333336</v>
      </c>
      <c r="F659" s="11">
        <v>1</v>
      </c>
    </row>
    <row r="660" spans="1:6" x14ac:dyDescent="0.2">
      <c r="B660" t="s">
        <v>303</v>
      </c>
      <c r="C660" s="11">
        <v>149</v>
      </c>
      <c r="D660" s="11">
        <v>2322061</v>
      </c>
      <c r="E660" s="11">
        <f t="shared" si="23"/>
        <v>1298.6918344519015</v>
      </c>
      <c r="F660" s="11">
        <v>9</v>
      </c>
    </row>
    <row r="661" spans="1:6" x14ac:dyDescent="0.2">
      <c r="B661" t="s">
        <v>304</v>
      </c>
      <c r="C661" s="11">
        <v>32</v>
      </c>
      <c r="D661" s="11">
        <v>760728</v>
      </c>
      <c r="E661" s="11">
        <f t="shared" si="23"/>
        <v>1981.0625</v>
      </c>
      <c r="F661" s="11">
        <v>2</v>
      </c>
    </row>
    <row r="662" spans="1:6" x14ac:dyDescent="0.2">
      <c r="B662" t="s">
        <v>305</v>
      </c>
      <c r="C662" s="11">
        <v>97</v>
      </c>
      <c r="D662" s="11">
        <v>2708577</v>
      </c>
      <c r="E662" s="11">
        <f t="shared" si="23"/>
        <v>2326.9561855670104</v>
      </c>
      <c r="F662" s="11">
        <v>10</v>
      </c>
    </row>
    <row r="663" spans="1:6" x14ac:dyDescent="0.2">
      <c r="A663" s="6"/>
      <c r="B663" t="s">
        <v>310</v>
      </c>
      <c r="C663" s="11">
        <f>SUM(C664:C665)</f>
        <v>282</v>
      </c>
      <c r="D663" s="11">
        <f>SUM(D664:D665)</f>
        <v>10218027</v>
      </c>
      <c r="E663" s="11">
        <f t="shared" si="23"/>
        <v>3019.5115248226953</v>
      </c>
      <c r="F663" s="11">
        <f>SUM(F664:F665)</f>
        <v>22</v>
      </c>
    </row>
    <row r="664" spans="1:6" x14ac:dyDescent="0.2">
      <c r="A664" s="6"/>
      <c r="B664" t="s">
        <v>307</v>
      </c>
      <c r="C664" s="11">
        <v>42</v>
      </c>
      <c r="D664" s="11">
        <v>1780222</v>
      </c>
      <c r="E664" s="11">
        <f t="shared" si="23"/>
        <v>3532.1865079365075</v>
      </c>
      <c r="F664" s="11">
        <v>6</v>
      </c>
    </row>
    <row r="665" spans="1:6" x14ac:dyDescent="0.2">
      <c r="A665" s="6"/>
      <c r="B665" t="s">
        <v>308</v>
      </c>
      <c r="C665" s="11">
        <v>240</v>
      </c>
      <c r="D665" s="11">
        <v>8437805</v>
      </c>
      <c r="E665" s="11">
        <f t="shared" si="23"/>
        <v>2929.7934027777778</v>
      </c>
      <c r="F665" s="11">
        <v>16</v>
      </c>
    </row>
    <row r="666" spans="1:6" x14ac:dyDescent="0.2">
      <c r="A666" s="6"/>
      <c r="C666" s="11"/>
      <c r="D666" s="11"/>
      <c r="E666" s="11"/>
      <c r="F666" s="11"/>
    </row>
    <row r="667" spans="1:6" x14ac:dyDescent="0.2">
      <c r="A667" s="6"/>
      <c r="B667" t="s">
        <v>344</v>
      </c>
      <c r="C667" s="11">
        <v>64288</v>
      </c>
      <c r="D667" s="11">
        <v>1991306471</v>
      </c>
      <c r="E667" s="11">
        <f>(D667/C667)/12</f>
        <v>2581.231426030778</v>
      </c>
      <c r="F667" s="11">
        <v>985</v>
      </c>
    </row>
    <row r="668" spans="1:6" x14ac:dyDescent="0.2">
      <c r="C668" s="11"/>
      <c r="D668" s="11"/>
      <c r="E668" s="11"/>
      <c r="F668" s="11"/>
    </row>
    <row r="669" spans="1:6" x14ac:dyDescent="0.2">
      <c r="B669" t="s">
        <v>345</v>
      </c>
      <c r="C669" s="11">
        <f>SUM(C670:C673)</f>
        <v>3355</v>
      </c>
      <c r="D669" s="11">
        <f>SUM(D670:D673)</f>
        <v>83584312</v>
      </c>
      <c r="E669" s="11">
        <f>(D669/C669)/12</f>
        <v>2076.1130650769996</v>
      </c>
      <c r="F669" s="11">
        <f>SUM(F670:F673)</f>
        <v>106</v>
      </c>
    </row>
    <row r="670" spans="1:6" x14ac:dyDescent="0.2">
      <c r="B670" t="s">
        <v>319</v>
      </c>
      <c r="C670" s="11">
        <v>912</v>
      </c>
      <c r="D670" s="11">
        <v>18265005</v>
      </c>
      <c r="E670" s="11">
        <f>(D670/C670)/12</f>
        <v>1668.9514802631577</v>
      </c>
      <c r="F670" s="11">
        <v>29</v>
      </c>
    </row>
    <row r="671" spans="1:6" x14ac:dyDescent="0.2">
      <c r="B671" t="s">
        <v>327</v>
      </c>
      <c r="C671" s="11">
        <v>1035</v>
      </c>
      <c r="D671" s="11">
        <v>34886329</v>
      </c>
      <c r="E671" s="11">
        <f>(D671/C671)/12</f>
        <v>2808.8831723027374</v>
      </c>
      <c r="F671" s="11">
        <v>5</v>
      </c>
    </row>
    <row r="672" spans="1:6" x14ac:dyDescent="0.2">
      <c r="B672" t="s">
        <v>2</v>
      </c>
      <c r="C672" s="11">
        <v>219</v>
      </c>
      <c r="D672" s="11">
        <v>4968258</v>
      </c>
      <c r="E672" s="11">
        <f>(D672/C672)/12</f>
        <v>1890.5091324200912</v>
      </c>
      <c r="F672" s="11">
        <v>6</v>
      </c>
    </row>
    <row r="673" spans="1:6" x14ac:dyDescent="0.2">
      <c r="A673" s="6"/>
      <c r="B673" t="s">
        <v>7</v>
      </c>
      <c r="C673" s="11">
        <v>1189</v>
      </c>
      <c r="D673" s="11">
        <v>25464720</v>
      </c>
      <c r="E673" s="11">
        <f>(D673/C673)/12</f>
        <v>1784.7434819175778</v>
      </c>
      <c r="F673" s="11">
        <v>66</v>
      </c>
    </row>
    <row r="674" spans="1:6" x14ac:dyDescent="0.2">
      <c r="A674" s="6"/>
      <c r="C674" s="11"/>
      <c r="D674" s="11"/>
      <c r="E674" s="11"/>
      <c r="F674" s="11"/>
    </row>
    <row r="675" spans="1:6" x14ac:dyDescent="0.2">
      <c r="A675" s="6"/>
      <c r="B675" t="s">
        <v>335</v>
      </c>
      <c r="C675" s="11">
        <f>4817+40</f>
        <v>4857</v>
      </c>
      <c r="D675" s="11">
        <f>62505272+459396</f>
        <v>62964668</v>
      </c>
      <c r="E675" s="11">
        <f t="shared" si="21"/>
        <v>1080.3079404296204</v>
      </c>
      <c r="F675" s="11">
        <f>123+2</f>
        <v>125</v>
      </c>
    </row>
    <row r="676" spans="1:6" x14ac:dyDescent="0.2">
      <c r="A676" s="6"/>
      <c r="C676" s="11"/>
      <c r="D676" s="11"/>
      <c r="E676" s="11"/>
      <c r="F676" s="11"/>
    </row>
    <row r="677" spans="1:6" x14ac:dyDescent="0.2">
      <c r="A677" s="6"/>
      <c r="B677" t="s">
        <v>336</v>
      </c>
      <c r="C677" s="11">
        <v>461</v>
      </c>
      <c r="D677" s="11">
        <v>16089266</v>
      </c>
      <c r="E677" s="11">
        <f t="shared" ref="E677:E685" si="24">(D677/C677)/12</f>
        <v>2908.3994938539404</v>
      </c>
      <c r="F677" s="11">
        <v>64</v>
      </c>
    </row>
    <row r="678" spans="1:6" x14ac:dyDescent="0.2">
      <c r="C678" s="11"/>
      <c r="D678" s="11"/>
      <c r="E678" s="11"/>
      <c r="F678" s="11"/>
    </row>
    <row r="679" spans="1:6" x14ac:dyDescent="0.2">
      <c r="B679" s="5" t="s">
        <v>337</v>
      </c>
      <c r="C679" s="11">
        <f>SUM(C680:C685)</f>
        <v>31340</v>
      </c>
      <c r="D679" s="11">
        <f>SUM(D680:D685)</f>
        <v>1135743023</v>
      </c>
      <c r="E679" s="11">
        <f t="shared" si="24"/>
        <v>3019.9506035949798</v>
      </c>
      <c r="F679" s="11">
        <f>SUM(F680:F685)</f>
        <v>978</v>
      </c>
    </row>
    <row r="680" spans="1:6" x14ac:dyDescent="0.2">
      <c r="B680" t="s">
        <v>45</v>
      </c>
      <c r="C680" s="11">
        <f>16208+126</f>
        <v>16334</v>
      </c>
      <c r="D680" s="11">
        <f>527988577+908109</f>
        <v>528896686</v>
      </c>
      <c r="E680" s="11">
        <f t="shared" si="24"/>
        <v>2698.3423431696665</v>
      </c>
      <c r="F680" s="11">
        <v>467</v>
      </c>
    </row>
    <row r="681" spans="1:6" x14ac:dyDescent="0.2">
      <c r="B681" t="s">
        <v>51</v>
      </c>
      <c r="C681" s="11">
        <v>10831</v>
      </c>
      <c r="D681" s="11">
        <v>460887927</v>
      </c>
      <c r="E681" s="11">
        <f t="shared" si="24"/>
        <v>3546.0555119564215</v>
      </c>
      <c r="F681" s="11">
        <v>301</v>
      </c>
    </row>
    <row r="682" spans="1:6" x14ac:dyDescent="0.2">
      <c r="B682" t="s">
        <v>46</v>
      </c>
      <c r="C682" s="11">
        <v>1465</v>
      </c>
      <c r="D682" s="11">
        <v>50761491</v>
      </c>
      <c r="E682" s="11">
        <f t="shared" si="24"/>
        <v>2887.4568259385665</v>
      </c>
      <c r="F682" s="11">
        <v>45</v>
      </c>
    </row>
    <row r="683" spans="1:6" x14ac:dyDescent="0.2">
      <c r="B683" t="s">
        <v>47</v>
      </c>
      <c r="C683" s="11">
        <v>1104</v>
      </c>
      <c r="D683" s="11">
        <v>25156297</v>
      </c>
      <c r="E683" s="11">
        <f t="shared" si="24"/>
        <v>1898.8750754830917</v>
      </c>
      <c r="F683" s="11">
        <v>64</v>
      </c>
    </row>
    <row r="684" spans="1:6" x14ac:dyDescent="0.2">
      <c r="B684" t="s">
        <v>48</v>
      </c>
      <c r="C684" s="11">
        <v>449</v>
      </c>
      <c r="D684" s="11">
        <v>19742221</v>
      </c>
      <c r="E684" s="11">
        <f t="shared" si="24"/>
        <v>3664.1093170007425</v>
      </c>
      <c r="F684" s="11">
        <v>31</v>
      </c>
    </row>
    <row r="685" spans="1:6" x14ac:dyDescent="0.2">
      <c r="A685" s="3"/>
      <c r="B685" t="s">
        <v>49</v>
      </c>
      <c r="C685" s="11">
        <v>1157</v>
      </c>
      <c r="D685" s="11">
        <v>50298401</v>
      </c>
      <c r="E685" s="11">
        <f t="shared" si="24"/>
        <v>3622.760083549409</v>
      </c>
      <c r="F685" s="11">
        <v>70</v>
      </c>
    </row>
    <row r="686" spans="1:6" x14ac:dyDescent="0.2">
      <c r="A686"/>
      <c r="C686" s="4"/>
      <c r="D686" s="4"/>
      <c r="E686" s="4"/>
      <c r="F686" s="4"/>
    </row>
    <row r="687" spans="1:6" x14ac:dyDescent="0.2">
      <c r="A687" s="15"/>
      <c r="B687" s="17" t="s">
        <v>422</v>
      </c>
      <c r="C687" s="16"/>
      <c r="D687" s="16"/>
      <c r="E687" s="16"/>
      <c r="F687" s="16"/>
    </row>
    <row r="688" spans="1:6" x14ac:dyDescent="0.2">
      <c r="A688"/>
      <c r="C688" s="4"/>
      <c r="D688" s="4"/>
      <c r="E688" s="4"/>
      <c r="F688" s="4"/>
    </row>
    <row r="689" spans="1:6" x14ac:dyDescent="0.2">
      <c r="A689"/>
      <c r="C689" s="4"/>
      <c r="D689" s="4"/>
      <c r="E689" s="4"/>
      <c r="F689" s="4"/>
    </row>
    <row r="690" spans="1:6" x14ac:dyDescent="0.2">
      <c r="A690"/>
      <c r="C690" s="4"/>
      <c r="D690" s="4"/>
      <c r="E690" s="4"/>
      <c r="F690" s="4"/>
    </row>
    <row r="691" spans="1:6" x14ac:dyDescent="0.2">
      <c r="A691"/>
      <c r="C691" s="4"/>
      <c r="D691" s="4"/>
      <c r="E691" s="4"/>
      <c r="F691" s="4"/>
    </row>
    <row r="692" spans="1:6" x14ac:dyDescent="0.2">
      <c r="A692"/>
    </row>
    <row r="693" spans="1:6" x14ac:dyDescent="0.2">
      <c r="A693"/>
    </row>
  </sheetData>
  <phoneticPr fontId="0" type="noConversion"/>
  <printOptions horizontalCentered="1" verticalCentered="1"/>
  <pageMargins left="0.25" right="0.25" top="0.5" bottom="0.5" header="0.5" footer="0.5"/>
  <pageSetup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2005_two_digit</vt:lpstr>
      <vt:lpstr>Sheet1</vt:lpstr>
      <vt:lpstr>'2005_two_digit'!Print_Area</vt:lpstr>
    </vt:vector>
  </TitlesOfParts>
  <Company>PSB LAN Support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 Walker</dc:creator>
  <cp:lastModifiedBy>Dana Knold</cp:lastModifiedBy>
  <cp:lastPrinted>2012-01-24T20:07:23Z</cp:lastPrinted>
  <dcterms:created xsi:type="dcterms:W3CDTF">2001-08-15T19:18:41Z</dcterms:created>
  <dcterms:modified xsi:type="dcterms:W3CDTF">2012-01-26T01:34:33Z</dcterms:modified>
</cp:coreProperties>
</file>